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SITES\NAVYCRF SERVER\library\Excel\"/>
    </mc:Choice>
  </mc:AlternateContent>
  <xr:revisionPtr revIDLastSave="0" documentId="8_{5B9564D1-281F-44EA-93E9-9ED2D448BC70}" xr6:coauthVersionLast="47" xr6:coauthVersionMax="47" xr10:uidLastSave="{00000000-0000-0000-0000-000000000000}"/>
  <bookViews>
    <workbookView xWindow="28680" yWindow="-120" windowWidth="29040" windowHeight="15840" tabRatio="684" xr2:uid="{00000000-000D-0000-FFFF-FFFF00000000}"/>
  </bookViews>
  <sheets>
    <sheet name="BUDGET OVERVIEW" sheetId="1" r:id="rId1"/>
    <sheet name="ADPLAN GOALS" sheetId="2" r:id="rId2"/>
    <sheet name="JONS-ADPLANNING" sheetId="11" r:id="rId3"/>
    <sheet name="DTS" sheetId="3" r:id="rId4"/>
    <sheet name="BOOTHS" sheetId="4" r:id="rId5"/>
    <sheet name="SOCIAL MEDIA" sheetId="6" r:id="rId6"/>
    <sheet name="INTERNET JOB" sheetId="8" r:id="rId7"/>
    <sheet name="MAILOUTS" sheetId="9" state="hidden" r:id="rId8"/>
    <sheet name="HELPER" sheetId="15" state="hidden" r:id="rId9"/>
    <sheet name="LEADS INSPECT" sheetId="10" state="hidden" r:id="rId10"/>
    <sheet name="AREA CAMP" sheetId="7" state="hidden" r:id="rId11"/>
  </sheets>
  <definedNames>
    <definedName name="_xlnm._FilterDatabase" localSheetId="4" hidden="1">BOOTHS!$A$1:$T$101</definedName>
    <definedName name="_xlnm._FilterDatabase" localSheetId="3" hidden="1">DTS!$A$1:$F$1</definedName>
    <definedName name="_xlnm._FilterDatabase" localSheetId="6" hidden="1">'INTERNET JOB'!$A$1:$R$101</definedName>
    <definedName name="_xlnm._FilterDatabase" localSheetId="7" hidden="1">MAILOUTS!$A$1:$K$100</definedName>
    <definedName name="_xlnm._FilterDatabase" localSheetId="5" hidden="1">'SOCIAL MEDIA'!$A$1:$N$100</definedName>
    <definedName name="BAAPR">BOOTHS!$Y$17</definedName>
    <definedName name="BAAUG">BOOTHS!$Y$21</definedName>
    <definedName name="BADEC">BOOTHS!$Y$13</definedName>
    <definedName name="BAFEB">BOOTHS!$Y$15</definedName>
    <definedName name="BAJAN">BOOTHS!$Y$14</definedName>
    <definedName name="BAJUL">BOOTHS!$Y$20</definedName>
    <definedName name="BAJUN">BOOTHS!$Y$19</definedName>
    <definedName name="BAMAR">BOOTHS!$Y$16</definedName>
    <definedName name="BAMAY">BOOTHS!$Y$18</definedName>
    <definedName name="BANOV">BOOTHS!$Y$12</definedName>
    <definedName name="BAOCT">BOOTHS!$Y$11</definedName>
    <definedName name="BASEP">BOOTHS!$Y$22</definedName>
    <definedName name="BOOTHACC">BOOTHS!$J$2:$J$100</definedName>
    <definedName name="BOOTHDAP">BOOTHS!$H$2:$H$100</definedName>
    <definedName name="BOOTHGRP">BOOTHS!$B$2:$B$100</definedName>
    <definedName name="BOOTHPLC">BOOTHS!$G$2:$G$100</definedName>
    <definedName name="BOOTHPLD">BOOTHS!$F$2:$F$100</definedName>
    <definedName name="BPAPR">BOOTHS!$V$17</definedName>
    <definedName name="BPAUG">BOOTHS!$V$21</definedName>
    <definedName name="BPDEC">BOOTHS!$V$13</definedName>
    <definedName name="BPFEB">BOOTHS!$V$15</definedName>
    <definedName name="BPJAN">BOOTHS!$V$14</definedName>
    <definedName name="BPJUL">BOOTHS!$V$20</definedName>
    <definedName name="BPJUN">BOOTHS!$V$19</definedName>
    <definedName name="BPMAR">BOOTHS!$V$16</definedName>
    <definedName name="BPMAY">BOOTHS!$V$18</definedName>
    <definedName name="BPNOV">BOOTHS!$V$12</definedName>
    <definedName name="BPOCT">BOOTHS!$V$11</definedName>
    <definedName name="BPSEP">BOOTHS!$V$22</definedName>
    <definedName name="IAAPR">'INTERNET JOB'!$W$17</definedName>
    <definedName name="IAAUG">'INTERNET JOB'!$W$21</definedName>
    <definedName name="IADEC">'INTERNET JOB'!$W$13</definedName>
    <definedName name="IAFEB">'INTERNET JOB'!$W$15</definedName>
    <definedName name="IAJAN">'INTERNET JOB'!$W$14</definedName>
    <definedName name="IAJUL">'INTERNET JOB'!$W$20</definedName>
    <definedName name="IAJUN">'INTERNET JOB'!$W$19</definedName>
    <definedName name="IAMAR">'INTERNET JOB'!$W$16</definedName>
    <definedName name="IAMAY">'INTERNET JOB'!$W$18</definedName>
    <definedName name="IANOV">'INTERNET JOB'!$W$12</definedName>
    <definedName name="IAOCT">'INTERNET JOB'!$W$11</definedName>
    <definedName name="IASEP">'INTERNET JOB'!$W$22</definedName>
    <definedName name="IJACC">'INTERNET JOB'!$J$2:$J$100</definedName>
    <definedName name="IJDAP">'INTERNET JOB'!$H$2:$H$100</definedName>
    <definedName name="IJGRP">'INTERNET JOB'!$B$2:$B$100</definedName>
    <definedName name="IJPLC">'INTERNET JOB'!$G$2:$G$100</definedName>
    <definedName name="IJPLD">'INTERNET JOB'!$F$2:$F$100</definedName>
    <definedName name="IPAPR">'INTERNET JOB'!$T$17</definedName>
    <definedName name="IPAUG">'INTERNET JOB'!$T$21</definedName>
    <definedName name="IPDEC">'INTERNET JOB'!$T$13</definedName>
    <definedName name="IPFEB">'INTERNET JOB'!$T$15</definedName>
    <definedName name="IPJAN">'INTERNET JOB'!$T$14</definedName>
    <definedName name="IPJUL">'INTERNET JOB'!$T$20</definedName>
    <definedName name="IPJUN">'INTERNET JOB'!$T$19</definedName>
    <definedName name="IPMAR">'INTERNET JOB'!$T$16</definedName>
    <definedName name="IPMAY">'INTERNET JOB'!$T$18</definedName>
    <definedName name="IPNOV">'INTERNET JOB'!$T$12</definedName>
    <definedName name="IPOCT">'INTERNET JOB'!$T$11</definedName>
    <definedName name="IPSEP">'INTERNET JOB'!$T$22</definedName>
    <definedName name="_xlnm.Print_Area" localSheetId="4">BOOTHS!$A$1:$Z$101</definedName>
    <definedName name="SAAPR">'SOCIAL MEDIA'!$S$17</definedName>
    <definedName name="SAAUG">'SOCIAL MEDIA'!$S$21</definedName>
    <definedName name="SADEC">'SOCIAL MEDIA'!$S$13</definedName>
    <definedName name="SAFEB">'SOCIAL MEDIA'!$S$15</definedName>
    <definedName name="SAJAN">'SOCIAL MEDIA'!$S$14</definedName>
    <definedName name="SAJUL">'SOCIAL MEDIA'!$S$20</definedName>
    <definedName name="SAJUN">'SOCIAL MEDIA'!$S$19</definedName>
    <definedName name="SAMAR">'SOCIAL MEDIA'!$S$16</definedName>
    <definedName name="SAMAY">'SOCIAL MEDIA'!$S$18</definedName>
    <definedName name="SANOV">'SOCIAL MEDIA'!$S$12</definedName>
    <definedName name="SAOCT">'SOCIAL MEDIA'!$S$11</definedName>
    <definedName name="SASEP">'SOCIAL MEDIA'!$S$22</definedName>
    <definedName name="SMACC">'SOCIAL MEDIA'!$J$2:$J$100</definedName>
    <definedName name="SMDAP">'SOCIAL MEDIA'!$H$2:$H$100</definedName>
    <definedName name="SMGRP">'SOCIAL MEDIA'!$B$2:$B$100</definedName>
    <definedName name="SMPLC">'SOCIAL MEDIA'!$G$2:$G$100</definedName>
    <definedName name="SMPLD">'SOCIAL MEDIA'!$F$2:$F$100</definedName>
    <definedName name="SPAPR">'SOCIAL MEDIA'!$P$17</definedName>
    <definedName name="SPAUG">'SOCIAL MEDIA'!$P$21</definedName>
    <definedName name="SPDEC">'SOCIAL MEDIA'!$P$13</definedName>
    <definedName name="SPFEB">'SOCIAL MEDIA'!$P$15</definedName>
    <definedName name="SPJAN">'SOCIAL MEDIA'!$P$14</definedName>
    <definedName name="SPJUL">'SOCIAL MEDIA'!$P$20</definedName>
    <definedName name="SPJUN">'SOCIAL MEDIA'!$P$19</definedName>
    <definedName name="SPMAR">'SOCIAL MEDIA'!$P$16</definedName>
    <definedName name="SPMAY">'SOCIAL MEDIA'!$P$18</definedName>
    <definedName name="SPNOV">'SOCIAL MEDIA'!$P$12</definedName>
    <definedName name="SPOCT">'SOCIAL MEDIA'!$P$11</definedName>
    <definedName name="SPSEP">'SOCIAL MEDIA'!$P$22</definedName>
    <definedName name="Z_B51176BD_3A7B_4ED1_B67D_463289B65E73_.wvu.Cols" localSheetId="4" hidden="1">BOOTHS!$O:$Q</definedName>
    <definedName name="Z_B51176BD_3A7B_4ED1_B67D_463289B65E73_.wvu.Cols" localSheetId="6" hidden="1">'INTERNET JOB'!$P:$R</definedName>
    <definedName name="Z_B51176BD_3A7B_4ED1_B67D_463289B65E73_.wvu.FilterData" localSheetId="4" hidden="1">BOOTHS!$A$1:$T$101</definedName>
    <definedName name="Z_B51176BD_3A7B_4ED1_B67D_463289B65E73_.wvu.FilterData" localSheetId="3" hidden="1">DTS!$A$1:$F$1</definedName>
    <definedName name="Z_B51176BD_3A7B_4ED1_B67D_463289B65E73_.wvu.FilterData" localSheetId="6" hidden="1">'INTERNET JOB'!$A$1:$R$101</definedName>
    <definedName name="Z_B51176BD_3A7B_4ED1_B67D_463289B65E73_.wvu.FilterData" localSheetId="7" hidden="1">MAILOUTS!$A$1:$K$100</definedName>
    <definedName name="Z_B51176BD_3A7B_4ED1_B67D_463289B65E73_.wvu.FilterData" localSheetId="5" hidden="1">'SOCIAL MEDIA'!$A$1:$N$101</definedName>
    <definedName name="Z_B51176BD_3A7B_4ED1_B67D_463289B65E73_.wvu.PrintArea" localSheetId="4" hidden="1">BOOTHS!$A$1:$Z$101</definedName>
    <definedName name="Z_DDFF3EBC_2CED_4439_A844_7B6A9C88C75C_.wvu.Cols" localSheetId="4" hidden="1">BOOTHS!$O:$Q</definedName>
    <definedName name="Z_DDFF3EBC_2CED_4439_A844_7B6A9C88C75C_.wvu.Cols" localSheetId="6" hidden="1">'INTERNET JOB'!$P:$R</definedName>
    <definedName name="Z_DDFF3EBC_2CED_4439_A844_7B6A9C88C75C_.wvu.FilterData" localSheetId="4" hidden="1">BOOTHS!$A$1:$T$101</definedName>
    <definedName name="Z_DDFF3EBC_2CED_4439_A844_7B6A9C88C75C_.wvu.FilterData" localSheetId="3" hidden="1">DTS!$A$1:$F$1</definedName>
    <definedName name="Z_DDFF3EBC_2CED_4439_A844_7B6A9C88C75C_.wvu.FilterData" localSheetId="6" hidden="1">'INTERNET JOB'!$A$1:$R$1</definedName>
    <definedName name="Z_DDFF3EBC_2CED_4439_A844_7B6A9C88C75C_.wvu.FilterData" localSheetId="7" hidden="1">MAILOUTS!$A$1:$K$100</definedName>
    <definedName name="Z_DDFF3EBC_2CED_4439_A844_7B6A9C88C75C_.wvu.FilterData" localSheetId="5" hidden="1">'SOCIAL MEDIA'!$A$1:$N$101</definedName>
    <definedName name="Z_DDFF3EBC_2CED_4439_A844_7B6A9C88C75C_.wvu.PrintArea" localSheetId="4" hidden="1">BOOTHS!$A$1:$Z$101</definedName>
  </definedNames>
  <calcPr calcId="191029"/>
  <customWorkbookViews>
    <customWorkbookView name="michael.harshbarger1 - Personal View" guid="{DDFF3EBC-2CED-4439-A844-7B6A9C88C75C}" mergeInterval="0" personalView="1" maximized="1" xWindow="-8" yWindow="6" windowWidth="2064" windowHeight="1114" tabRatio="684" activeSheetId="4"/>
    <customWorkbookView name="Ross, Stephen P CM1 NRD Philadelphia - Personal View" guid="{B51176BD-3A7B-4ED1-B67D-463289B65E73}" mergeInterval="0" personalView="1" maximized="1" xWindow="-8" yWindow="6" windowWidth="1936" windowHeight="1042" tabRatio="684" activeSheetId="8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2" l="1"/>
  <c r="L7" i="2"/>
  <c r="N7" i="2" s="1"/>
  <c r="P7" i="2" s="1"/>
  <c r="R7" i="2" s="1"/>
  <c r="T7" i="2" s="1"/>
  <c r="V7" i="2" s="1"/>
  <c r="X7" i="2" s="1"/>
  <c r="Z7" i="2" s="1"/>
  <c r="AB7" i="2" s="1"/>
  <c r="AD7" i="2" s="1"/>
  <c r="AF7" i="2" s="1"/>
  <c r="AH7" i="2" s="1"/>
  <c r="M7" i="2"/>
  <c r="O7" i="2" s="1"/>
  <c r="Q7" i="2" s="1"/>
  <c r="S7" i="2" s="1"/>
  <c r="U7" i="2" s="1"/>
  <c r="W7" i="2" s="1"/>
  <c r="Y7" i="2" s="1"/>
  <c r="AA7" i="2" s="1"/>
  <c r="AC7" i="2" s="1"/>
  <c r="AE7" i="2" s="1"/>
  <c r="AG7" i="2" s="1"/>
  <c r="K9" i="2"/>
  <c r="M9" i="2" s="1"/>
  <c r="O9" i="2" s="1"/>
  <c r="Q9" i="2" s="1"/>
  <c r="S9" i="2" s="1"/>
  <c r="U9" i="2" s="1"/>
  <c r="W9" i="2" s="1"/>
  <c r="Y9" i="2" s="1"/>
  <c r="AA9" i="2" s="1"/>
  <c r="AC9" i="2" s="1"/>
  <c r="AE9" i="2" s="1"/>
  <c r="AG9" i="2" s="1"/>
  <c r="L9" i="2"/>
  <c r="N9" i="2" s="1"/>
  <c r="P9" i="2" s="1"/>
  <c r="R9" i="2" s="1"/>
  <c r="T9" i="2" s="1"/>
  <c r="V9" i="2" s="1"/>
  <c r="X9" i="2" s="1"/>
  <c r="Z9" i="2" s="1"/>
  <c r="AB9" i="2" s="1"/>
  <c r="AD9" i="2" s="1"/>
  <c r="AF9" i="2" s="1"/>
  <c r="AH9" i="2" s="1"/>
  <c r="K11" i="2"/>
  <c r="M11" i="2" s="1"/>
  <c r="O11" i="2" s="1"/>
  <c r="Q11" i="2" s="1"/>
  <c r="S11" i="2" s="1"/>
  <c r="U11" i="2" s="1"/>
  <c r="W11" i="2" s="1"/>
  <c r="Y11" i="2" s="1"/>
  <c r="AA11" i="2" s="1"/>
  <c r="AC11" i="2" s="1"/>
  <c r="AE11" i="2" s="1"/>
  <c r="AG11" i="2" s="1"/>
  <c r="L11" i="2"/>
  <c r="N11" i="2"/>
  <c r="P11" i="2" s="1"/>
  <c r="R11" i="2" s="1"/>
  <c r="T11" i="2" s="1"/>
  <c r="V11" i="2" s="1"/>
  <c r="X11" i="2" s="1"/>
  <c r="Z11" i="2" s="1"/>
  <c r="AB11" i="2" s="1"/>
  <c r="AD11" i="2" s="1"/>
  <c r="AF11" i="2" s="1"/>
  <c r="AH11" i="2" s="1"/>
  <c r="K13" i="2"/>
  <c r="M13" i="2" s="1"/>
  <c r="O13" i="2" s="1"/>
  <c r="Q13" i="2" s="1"/>
  <c r="S13" i="2" s="1"/>
  <c r="U13" i="2" s="1"/>
  <c r="W13" i="2" s="1"/>
  <c r="Y13" i="2" s="1"/>
  <c r="AA13" i="2" s="1"/>
  <c r="AC13" i="2" s="1"/>
  <c r="AE13" i="2" s="1"/>
  <c r="AG13" i="2" s="1"/>
  <c r="L13" i="2"/>
  <c r="N13" i="2" s="1"/>
  <c r="P13" i="2" s="1"/>
  <c r="R13" i="2" s="1"/>
  <c r="T13" i="2" s="1"/>
  <c r="V13" i="2" s="1"/>
  <c r="X13" i="2" s="1"/>
  <c r="Z13" i="2" s="1"/>
  <c r="AB13" i="2" s="1"/>
  <c r="AD13" i="2" s="1"/>
  <c r="AF13" i="2" s="1"/>
  <c r="AH13" i="2" s="1"/>
  <c r="K15" i="2"/>
  <c r="L15" i="2"/>
  <c r="M15" i="2"/>
  <c r="O15" i="2" s="1"/>
  <c r="Q15" i="2" s="1"/>
  <c r="S15" i="2" s="1"/>
  <c r="U15" i="2" s="1"/>
  <c r="W15" i="2" s="1"/>
  <c r="Y15" i="2" s="1"/>
  <c r="AA15" i="2" s="1"/>
  <c r="AC15" i="2" s="1"/>
  <c r="AE15" i="2" s="1"/>
  <c r="AG15" i="2" s="1"/>
  <c r="N15" i="2"/>
  <c r="P15" i="2" s="1"/>
  <c r="R15" i="2" s="1"/>
  <c r="T15" i="2" s="1"/>
  <c r="V15" i="2" s="1"/>
  <c r="X15" i="2" s="1"/>
  <c r="Z15" i="2" s="1"/>
  <c r="AB15" i="2" s="1"/>
  <c r="AD15" i="2" s="1"/>
  <c r="AF15" i="2" s="1"/>
  <c r="AH15" i="2" s="1"/>
  <c r="K17" i="2"/>
  <c r="L17" i="2"/>
  <c r="N17" i="2" s="1"/>
  <c r="P17" i="2" s="1"/>
  <c r="R17" i="2" s="1"/>
  <c r="T17" i="2" s="1"/>
  <c r="V17" i="2" s="1"/>
  <c r="X17" i="2" s="1"/>
  <c r="Z17" i="2" s="1"/>
  <c r="AB17" i="2" s="1"/>
  <c r="AD17" i="2" s="1"/>
  <c r="AF17" i="2" s="1"/>
  <c r="AH17" i="2" s="1"/>
  <c r="M17" i="2"/>
  <c r="O17" i="2" s="1"/>
  <c r="Q17" i="2" s="1"/>
  <c r="S17" i="2" s="1"/>
  <c r="U17" i="2" s="1"/>
  <c r="W17" i="2" s="1"/>
  <c r="Y17" i="2" s="1"/>
  <c r="AA17" i="2" s="1"/>
  <c r="AC17" i="2" s="1"/>
  <c r="AE17" i="2" s="1"/>
  <c r="AG17" i="2" s="1"/>
  <c r="K19" i="2"/>
  <c r="L19" i="2"/>
  <c r="N19" i="2" s="1"/>
  <c r="P19" i="2" s="1"/>
  <c r="R19" i="2" s="1"/>
  <c r="T19" i="2" s="1"/>
  <c r="V19" i="2" s="1"/>
  <c r="X19" i="2" s="1"/>
  <c r="Z19" i="2" s="1"/>
  <c r="AB19" i="2" s="1"/>
  <c r="AD19" i="2" s="1"/>
  <c r="AF19" i="2" s="1"/>
  <c r="AH19" i="2" s="1"/>
  <c r="M19" i="2"/>
  <c r="O19" i="2" s="1"/>
  <c r="Q19" i="2" s="1"/>
  <c r="S19" i="2" s="1"/>
  <c r="U19" i="2" s="1"/>
  <c r="W19" i="2" s="1"/>
  <c r="Y19" i="2" s="1"/>
  <c r="AA19" i="2" s="1"/>
  <c r="AC19" i="2" s="1"/>
  <c r="AE19" i="2" s="1"/>
  <c r="AG19" i="2" s="1"/>
  <c r="K21" i="2"/>
  <c r="M21" i="2" s="1"/>
  <c r="O21" i="2" s="1"/>
  <c r="Q21" i="2" s="1"/>
  <c r="S21" i="2" s="1"/>
  <c r="U21" i="2" s="1"/>
  <c r="W21" i="2" s="1"/>
  <c r="Y21" i="2" s="1"/>
  <c r="AA21" i="2" s="1"/>
  <c r="AC21" i="2" s="1"/>
  <c r="AE21" i="2" s="1"/>
  <c r="AG21" i="2" s="1"/>
  <c r="L21" i="2"/>
  <c r="N21" i="2"/>
  <c r="P21" i="2" s="1"/>
  <c r="R21" i="2" s="1"/>
  <c r="T21" i="2" s="1"/>
  <c r="V21" i="2" s="1"/>
  <c r="X21" i="2" s="1"/>
  <c r="Z21" i="2" s="1"/>
  <c r="AB21" i="2" s="1"/>
  <c r="AD21" i="2" s="1"/>
  <c r="AF21" i="2" s="1"/>
  <c r="AH21" i="2" s="1"/>
  <c r="K23" i="2"/>
  <c r="M23" i="2" s="1"/>
  <c r="O23" i="2" s="1"/>
  <c r="Q23" i="2" s="1"/>
  <c r="S23" i="2" s="1"/>
  <c r="U23" i="2" s="1"/>
  <c r="W23" i="2" s="1"/>
  <c r="Y23" i="2" s="1"/>
  <c r="AA23" i="2" s="1"/>
  <c r="AC23" i="2" s="1"/>
  <c r="AE23" i="2" s="1"/>
  <c r="AG23" i="2" s="1"/>
  <c r="L23" i="2"/>
  <c r="N23" i="2" s="1"/>
  <c r="P23" i="2" s="1"/>
  <c r="R23" i="2" s="1"/>
  <c r="T23" i="2" s="1"/>
  <c r="V23" i="2" s="1"/>
  <c r="X23" i="2" s="1"/>
  <c r="Z23" i="2" s="1"/>
  <c r="AB23" i="2" s="1"/>
  <c r="AD23" i="2" s="1"/>
  <c r="AF23" i="2" s="1"/>
  <c r="AH23" i="2" s="1"/>
  <c r="K25" i="2"/>
  <c r="L25" i="2"/>
  <c r="M25" i="2"/>
  <c r="O25" i="2" s="1"/>
  <c r="Q25" i="2" s="1"/>
  <c r="S25" i="2" s="1"/>
  <c r="U25" i="2" s="1"/>
  <c r="W25" i="2" s="1"/>
  <c r="Y25" i="2" s="1"/>
  <c r="AA25" i="2" s="1"/>
  <c r="AC25" i="2" s="1"/>
  <c r="AE25" i="2" s="1"/>
  <c r="AG25" i="2" s="1"/>
  <c r="N25" i="2"/>
  <c r="P25" i="2"/>
  <c r="R25" i="2" s="1"/>
  <c r="T25" i="2" s="1"/>
  <c r="V25" i="2" s="1"/>
  <c r="X25" i="2" s="1"/>
  <c r="Z25" i="2" s="1"/>
  <c r="AB25" i="2" s="1"/>
  <c r="AD25" i="2" s="1"/>
  <c r="AF25" i="2" s="1"/>
  <c r="AH25" i="2" s="1"/>
  <c r="K27" i="2"/>
  <c r="L27" i="2"/>
  <c r="N27" i="2" s="1"/>
  <c r="P27" i="2" s="1"/>
  <c r="R27" i="2" s="1"/>
  <c r="T27" i="2" s="1"/>
  <c r="V27" i="2" s="1"/>
  <c r="X27" i="2" s="1"/>
  <c r="Z27" i="2" s="1"/>
  <c r="AB27" i="2" s="1"/>
  <c r="AD27" i="2" s="1"/>
  <c r="AF27" i="2" s="1"/>
  <c r="AH27" i="2" s="1"/>
  <c r="M27" i="2"/>
  <c r="O27" i="2" s="1"/>
  <c r="Q27" i="2" s="1"/>
  <c r="S27" i="2" s="1"/>
  <c r="U27" i="2" s="1"/>
  <c r="W27" i="2" s="1"/>
  <c r="Y27" i="2" s="1"/>
  <c r="AA27" i="2" s="1"/>
  <c r="AC27" i="2" s="1"/>
  <c r="AE27" i="2" s="1"/>
  <c r="AG27" i="2" s="1"/>
  <c r="K29" i="2"/>
  <c r="L29" i="2"/>
  <c r="N29" i="2" s="1"/>
  <c r="P29" i="2" s="1"/>
  <c r="R29" i="2" s="1"/>
  <c r="T29" i="2" s="1"/>
  <c r="V29" i="2" s="1"/>
  <c r="X29" i="2" s="1"/>
  <c r="Z29" i="2" s="1"/>
  <c r="AB29" i="2" s="1"/>
  <c r="AD29" i="2" s="1"/>
  <c r="AF29" i="2" s="1"/>
  <c r="AH29" i="2" s="1"/>
  <c r="M29" i="2"/>
  <c r="O29" i="2" s="1"/>
  <c r="Q29" i="2" s="1"/>
  <c r="S29" i="2" s="1"/>
  <c r="U29" i="2" s="1"/>
  <c r="W29" i="2" s="1"/>
  <c r="Y29" i="2" s="1"/>
  <c r="AA29" i="2" s="1"/>
  <c r="AC29" i="2" s="1"/>
  <c r="AE29" i="2" s="1"/>
  <c r="AG29" i="2" s="1"/>
  <c r="K31" i="2"/>
  <c r="M31" i="2" s="1"/>
  <c r="O31" i="2" s="1"/>
  <c r="Q31" i="2" s="1"/>
  <c r="S31" i="2" s="1"/>
  <c r="U31" i="2" s="1"/>
  <c r="W31" i="2" s="1"/>
  <c r="Y31" i="2" s="1"/>
  <c r="AA31" i="2" s="1"/>
  <c r="AC31" i="2" s="1"/>
  <c r="AE31" i="2" s="1"/>
  <c r="AG31" i="2" s="1"/>
  <c r="L31" i="2"/>
  <c r="N31" i="2"/>
  <c r="P31" i="2" s="1"/>
  <c r="R31" i="2" s="1"/>
  <c r="T31" i="2" s="1"/>
  <c r="V31" i="2" s="1"/>
  <c r="X31" i="2" s="1"/>
  <c r="Z31" i="2" s="1"/>
  <c r="AB31" i="2" s="1"/>
  <c r="AD31" i="2" s="1"/>
  <c r="AF31" i="2" s="1"/>
  <c r="AH31" i="2" s="1"/>
  <c r="K33" i="2"/>
  <c r="M33" i="2" s="1"/>
  <c r="O33" i="2" s="1"/>
  <c r="Q33" i="2" s="1"/>
  <c r="S33" i="2" s="1"/>
  <c r="U33" i="2" s="1"/>
  <c r="W33" i="2" s="1"/>
  <c r="Y33" i="2" s="1"/>
  <c r="AA33" i="2" s="1"/>
  <c r="AC33" i="2" s="1"/>
  <c r="AE33" i="2" s="1"/>
  <c r="AG33" i="2" s="1"/>
  <c r="L33" i="2"/>
  <c r="N33" i="2" s="1"/>
  <c r="P33" i="2" s="1"/>
  <c r="R33" i="2" s="1"/>
  <c r="T33" i="2" s="1"/>
  <c r="V33" i="2" s="1"/>
  <c r="X33" i="2" s="1"/>
  <c r="Z33" i="2" s="1"/>
  <c r="AB33" i="2" s="1"/>
  <c r="AD33" i="2" s="1"/>
  <c r="AF33" i="2" s="1"/>
  <c r="AH33" i="2" s="1"/>
  <c r="K35" i="2"/>
  <c r="L35" i="2"/>
  <c r="M35" i="2"/>
  <c r="O35" i="2" s="1"/>
  <c r="Q35" i="2" s="1"/>
  <c r="S35" i="2" s="1"/>
  <c r="U35" i="2" s="1"/>
  <c r="W35" i="2" s="1"/>
  <c r="Y35" i="2" s="1"/>
  <c r="AA35" i="2" s="1"/>
  <c r="AC35" i="2" s="1"/>
  <c r="AE35" i="2" s="1"/>
  <c r="AG35" i="2" s="1"/>
  <c r="N35" i="2"/>
  <c r="P35" i="2"/>
  <c r="R35" i="2" s="1"/>
  <c r="T35" i="2" s="1"/>
  <c r="V35" i="2" s="1"/>
  <c r="X35" i="2" s="1"/>
  <c r="Z35" i="2" s="1"/>
  <c r="AB35" i="2" s="1"/>
  <c r="AD35" i="2" s="1"/>
  <c r="AF35" i="2" s="1"/>
  <c r="AH35" i="2" s="1"/>
  <c r="K37" i="2"/>
  <c r="L37" i="2"/>
  <c r="N37" i="2" s="1"/>
  <c r="P37" i="2" s="1"/>
  <c r="R37" i="2" s="1"/>
  <c r="T37" i="2" s="1"/>
  <c r="V37" i="2" s="1"/>
  <c r="X37" i="2" s="1"/>
  <c r="Z37" i="2" s="1"/>
  <c r="AB37" i="2" s="1"/>
  <c r="AD37" i="2" s="1"/>
  <c r="AF37" i="2" s="1"/>
  <c r="AH37" i="2" s="1"/>
  <c r="M37" i="2"/>
  <c r="O37" i="2" s="1"/>
  <c r="Q37" i="2" s="1"/>
  <c r="S37" i="2" s="1"/>
  <c r="U37" i="2" s="1"/>
  <c r="W37" i="2" s="1"/>
  <c r="Y37" i="2" s="1"/>
  <c r="AA37" i="2" s="1"/>
  <c r="AC37" i="2" s="1"/>
  <c r="AE37" i="2" s="1"/>
  <c r="AG37" i="2" s="1"/>
  <c r="K39" i="2"/>
  <c r="L39" i="2"/>
  <c r="N39" i="2" s="1"/>
  <c r="P39" i="2" s="1"/>
  <c r="R39" i="2" s="1"/>
  <c r="T39" i="2" s="1"/>
  <c r="V39" i="2" s="1"/>
  <c r="X39" i="2" s="1"/>
  <c r="Z39" i="2" s="1"/>
  <c r="AB39" i="2" s="1"/>
  <c r="AD39" i="2" s="1"/>
  <c r="AF39" i="2" s="1"/>
  <c r="AH39" i="2" s="1"/>
  <c r="M39" i="2"/>
  <c r="O39" i="2" s="1"/>
  <c r="Q39" i="2" s="1"/>
  <c r="S39" i="2" s="1"/>
  <c r="U39" i="2" s="1"/>
  <c r="W39" i="2" s="1"/>
  <c r="Y39" i="2" s="1"/>
  <c r="AA39" i="2" s="1"/>
  <c r="AC39" i="2" s="1"/>
  <c r="AE39" i="2" s="1"/>
  <c r="AG39" i="2" s="1"/>
  <c r="K41" i="2"/>
  <c r="M41" i="2" s="1"/>
  <c r="O41" i="2" s="1"/>
  <c r="Q41" i="2" s="1"/>
  <c r="S41" i="2" s="1"/>
  <c r="U41" i="2" s="1"/>
  <c r="W41" i="2" s="1"/>
  <c r="Y41" i="2" s="1"/>
  <c r="AA41" i="2" s="1"/>
  <c r="AC41" i="2" s="1"/>
  <c r="AE41" i="2" s="1"/>
  <c r="AG41" i="2" s="1"/>
  <c r="L41" i="2"/>
  <c r="N41" i="2"/>
  <c r="P41" i="2" s="1"/>
  <c r="R41" i="2" s="1"/>
  <c r="T41" i="2" s="1"/>
  <c r="V41" i="2" s="1"/>
  <c r="X41" i="2" s="1"/>
  <c r="Z41" i="2" s="1"/>
  <c r="AB41" i="2" s="1"/>
  <c r="AD41" i="2" s="1"/>
  <c r="AF41" i="2" s="1"/>
  <c r="AH41" i="2" s="1"/>
  <c r="K43" i="2"/>
  <c r="M43" i="2" s="1"/>
  <c r="O43" i="2" s="1"/>
  <c r="Q43" i="2" s="1"/>
  <c r="S43" i="2" s="1"/>
  <c r="U43" i="2" s="1"/>
  <c r="W43" i="2" s="1"/>
  <c r="Y43" i="2" s="1"/>
  <c r="AA43" i="2" s="1"/>
  <c r="AC43" i="2" s="1"/>
  <c r="AE43" i="2" s="1"/>
  <c r="AG43" i="2" s="1"/>
  <c r="L43" i="2"/>
  <c r="N43" i="2" s="1"/>
  <c r="P43" i="2" s="1"/>
  <c r="R43" i="2" s="1"/>
  <c r="T43" i="2" s="1"/>
  <c r="V43" i="2" s="1"/>
  <c r="X43" i="2" s="1"/>
  <c r="Z43" i="2" s="1"/>
  <c r="AB43" i="2" s="1"/>
  <c r="AD43" i="2" s="1"/>
  <c r="AF43" i="2" s="1"/>
  <c r="AH43" i="2" s="1"/>
  <c r="K45" i="2"/>
  <c r="L45" i="2"/>
  <c r="M45" i="2"/>
  <c r="O45" i="2" s="1"/>
  <c r="Q45" i="2" s="1"/>
  <c r="S45" i="2" s="1"/>
  <c r="U45" i="2" s="1"/>
  <c r="W45" i="2" s="1"/>
  <c r="Y45" i="2" s="1"/>
  <c r="AA45" i="2" s="1"/>
  <c r="AC45" i="2" s="1"/>
  <c r="AE45" i="2" s="1"/>
  <c r="AG45" i="2" s="1"/>
  <c r="N45" i="2"/>
  <c r="P45" i="2"/>
  <c r="R45" i="2" s="1"/>
  <c r="T45" i="2" s="1"/>
  <c r="V45" i="2" s="1"/>
  <c r="X45" i="2" s="1"/>
  <c r="Z45" i="2" s="1"/>
  <c r="AB45" i="2" s="1"/>
  <c r="AD45" i="2" s="1"/>
  <c r="AF45" i="2" s="1"/>
  <c r="AH45" i="2" s="1"/>
  <c r="K47" i="2"/>
  <c r="L47" i="2"/>
  <c r="N47" i="2" s="1"/>
  <c r="P47" i="2" s="1"/>
  <c r="R47" i="2" s="1"/>
  <c r="T47" i="2" s="1"/>
  <c r="V47" i="2" s="1"/>
  <c r="X47" i="2" s="1"/>
  <c r="Z47" i="2" s="1"/>
  <c r="AB47" i="2" s="1"/>
  <c r="AD47" i="2" s="1"/>
  <c r="AF47" i="2" s="1"/>
  <c r="AH47" i="2" s="1"/>
  <c r="M47" i="2"/>
  <c r="O47" i="2" s="1"/>
  <c r="Q47" i="2" s="1"/>
  <c r="S47" i="2" s="1"/>
  <c r="U47" i="2" s="1"/>
  <c r="W47" i="2" s="1"/>
  <c r="Y47" i="2" s="1"/>
  <c r="AA47" i="2" s="1"/>
  <c r="AC47" i="2" s="1"/>
  <c r="AE47" i="2" s="1"/>
  <c r="AG47" i="2" s="1"/>
  <c r="K49" i="2"/>
  <c r="L49" i="2"/>
  <c r="N49" i="2" s="1"/>
  <c r="P49" i="2" s="1"/>
  <c r="R49" i="2" s="1"/>
  <c r="T49" i="2" s="1"/>
  <c r="V49" i="2" s="1"/>
  <c r="X49" i="2" s="1"/>
  <c r="Z49" i="2" s="1"/>
  <c r="AB49" i="2" s="1"/>
  <c r="AD49" i="2" s="1"/>
  <c r="AF49" i="2" s="1"/>
  <c r="AH49" i="2" s="1"/>
  <c r="M49" i="2"/>
  <c r="O49" i="2" s="1"/>
  <c r="Q49" i="2" s="1"/>
  <c r="S49" i="2" s="1"/>
  <c r="U49" i="2" s="1"/>
  <c r="W49" i="2" s="1"/>
  <c r="Y49" i="2" s="1"/>
  <c r="AA49" i="2" s="1"/>
  <c r="AC49" i="2" s="1"/>
  <c r="AE49" i="2" s="1"/>
  <c r="AG49" i="2" s="1"/>
  <c r="K51" i="2"/>
  <c r="M51" i="2" s="1"/>
  <c r="O51" i="2" s="1"/>
  <c r="Q51" i="2" s="1"/>
  <c r="S51" i="2" s="1"/>
  <c r="U51" i="2" s="1"/>
  <c r="W51" i="2" s="1"/>
  <c r="Y51" i="2" s="1"/>
  <c r="AA51" i="2" s="1"/>
  <c r="AC51" i="2" s="1"/>
  <c r="AE51" i="2" s="1"/>
  <c r="AG51" i="2" s="1"/>
  <c r="L51" i="2"/>
  <c r="N51" i="2"/>
  <c r="P51" i="2" s="1"/>
  <c r="R51" i="2" s="1"/>
  <c r="T51" i="2" s="1"/>
  <c r="V51" i="2" s="1"/>
  <c r="X51" i="2" s="1"/>
  <c r="Z51" i="2" s="1"/>
  <c r="AB51" i="2" s="1"/>
  <c r="AD51" i="2" s="1"/>
  <c r="AF51" i="2" s="1"/>
  <c r="AH51" i="2" s="1"/>
  <c r="K53" i="2"/>
  <c r="M53" i="2" s="1"/>
  <c r="O53" i="2" s="1"/>
  <c r="Q53" i="2" s="1"/>
  <c r="S53" i="2" s="1"/>
  <c r="U53" i="2" s="1"/>
  <c r="W53" i="2" s="1"/>
  <c r="Y53" i="2" s="1"/>
  <c r="AA53" i="2" s="1"/>
  <c r="AC53" i="2" s="1"/>
  <c r="AE53" i="2" s="1"/>
  <c r="AG53" i="2" s="1"/>
  <c r="L53" i="2"/>
  <c r="N53" i="2" s="1"/>
  <c r="P53" i="2" s="1"/>
  <c r="R53" i="2" s="1"/>
  <c r="T53" i="2" s="1"/>
  <c r="V53" i="2" s="1"/>
  <c r="X53" i="2" s="1"/>
  <c r="Z53" i="2" s="1"/>
  <c r="AB53" i="2" s="1"/>
  <c r="AD53" i="2" s="1"/>
  <c r="AF53" i="2" s="1"/>
  <c r="AH53" i="2" s="1"/>
  <c r="K55" i="2"/>
  <c r="L55" i="2"/>
  <c r="M55" i="2"/>
  <c r="O55" i="2" s="1"/>
  <c r="N55" i="2"/>
  <c r="P55" i="2"/>
  <c r="R55" i="2" s="1"/>
  <c r="T55" i="2" s="1"/>
  <c r="V55" i="2" s="1"/>
  <c r="X55" i="2" s="1"/>
  <c r="Z55" i="2" s="1"/>
  <c r="AB55" i="2" s="1"/>
  <c r="AD55" i="2" s="1"/>
  <c r="AF55" i="2" s="1"/>
  <c r="AH55" i="2" s="1"/>
  <c r="Q55" i="2"/>
  <c r="S55" i="2" s="1"/>
  <c r="U55" i="2" s="1"/>
  <c r="W55" i="2" s="1"/>
  <c r="Y55" i="2" s="1"/>
  <c r="AA55" i="2" s="1"/>
  <c r="AC55" i="2" s="1"/>
  <c r="AE55" i="2" s="1"/>
  <c r="AG55" i="2" s="1"/>
  <c r="K57" i="2"/>
  <c r="L57" i="2"/>
  <c r="N57" i="2" s="1"/>
  <c r="P57" i="2" s="1"/>
  <c r="R57" i="2" s="1"/>
  <c r="T57" i="2" s="1"/>
  <c r="V57" i="2" s="1"/>
  <c r="X57" i="2" s="1"/>
  <c r="Z57" i="2" s="1"/>
  <c r="AB57" i="2" s="1"/>
  <c r="AD57" i="2" s="1"/>
  <c r="AF57" i="2" s="1"/>
  <c r="AH57" i="2" s="1"/>
  <c r="M57" i="2"/>
  <c r="O57" i="2" s="1"/>
  <c r="Q57" i="2" s="1"/>
  <c r="S57" i="2" s="1"/>
  <c r="U57" i="2" s="1"/>
  <c r="W57" i="2" s="1"/>
  <c r="Y57" i="2" s="1"/>
  <c r="AA57" i="2" s="1"/>
  <c r="AC57" i="2" s="1"/>
  <c r="AE57" i="2" s="1"/>
  <c r="AG57" i="2" s="1"/>
  <c r="K59" i="2"/>
  <c r="L59" i="2"/>
  <c r="N59" i="2" s="1"/>
  <c r="P59" i="2" s="1"/>
  <c r="R59" i="2" s="1"/>
  <c r="T59" i="2" s="1"/>
  <c r="V59" i="2" s="1"/>
  <c r="X59" i="2" s="1"/>
  <c r="Z59" i="2" s="1"/>
  <c r="AB59" i="2" s="1"/>
  <c r="AD59" i="2" s="1"/>
  <c r="AF59" i="2" s="1"/>
  <c r="AH59" i="2" s="1"/>
  <c r="M59" i="2"/>
  <c r="O59" i="2" s="1"/>
  <c r="Q59" i="2" s="1"/>
  <c r="S59" i="2" s="1"/>
  <c r="U59" i="2" s="1"/>
  <c r="W59" i="2" s="1"/>
  <c r="Y59" i="2" s="1"/>
  <c r="AA59" i="2" s="1"/>
  <c r="AC59" i="2" s="1"/>
  <c r="AE59" i="2" s="1"/>
  <c r="AG59" i="2" s="1"/>
  <c r="K61" i="2"/>
  <c r="M61" i="2" s="1"/>
  <c r="O61" i="2" s="1"/>
  <c r="Q61" i="2" s="1"/>
  <c r="S61" i="2" s="1"/>
  <c r="U61" i="2" s="1"/>
  <c r="W61" i="2" s="1"/>
  <c r="Y61" i="2" s="1"/>
  <c r="AA61" i="2" s="1"/>
  <c r="AC61" i="2" s="1"/>
  <c r="AE61" i="2" s="1"/>
  <c r="AG61" i="2" s="1"/>
  <c r="L61" i="2"/>
  <c r="N61" i="2"/>
  <c r="P61" i="2" s="1"/>
  <c r="R61" i="2" s="1"/>
  <c r="T61" i="2" s="1"/>
  <c r="V61" i="2" s="1"/>
  <c r="X61" i="2" s="1"/>
  <c r="Z61" i="2" s="1"/>
  <c r="AB61" i="2" s="1"/>
  <c r="AD61" i="2" s="1"/>
  <c r="AF61" i="2" s="1"/>
  <c r="AH61" i="2" s="1"/>
  <c r="K63" i="2"/>
  <c r="M63" i="2" s="1"/>
  <c r="O63" i="2" s="1"/>
  <c r="Q63" i="2" s="1"/>
  <c r="S63" i="2" s="1"/>
  <c r="U63" i="2" s="1"/>
  <c r="W63" i="2" s="1"/>
  <c r="Y63" i="2" s="1"/>
  <c r="AA63" i="2" s="1"/>
  <c r="AC63" i="2" s="1"/>
  <c r="AE63" i="2" s="1"/>
  <c r="AG63" i="2" s="1"/>
  <c r="L63" i="2"/>
  <c r="N63" i="2" s="1"/>
  <c r="P63" i="2" s="1"/>
  <c r="R63" i="2" s="1"/>
  <c r="T63" i="2" s="1"/>
  <c r="V63" i="2" s="1"/>
  <c r="X63" i="2" s="1"/>
  <c r="Z63" i="2" s="1"/>
  <c r="AB63" i="2" s="1"/>
  <c r="AD63" i="2" s="1"/>
  <c r="AF63" i="2" s="1"/>
  <c r="AH63" i="2" s="1"/>
  <c r="N3" i="8"/>
  <c r="O3" i="8"/>
  <c r="N4" i="8"/>
  <c r="O4" i="8"/>
  <c r="N5" i="8"/>
  <c r="O5" i="8"/>
  <c r="N6" i="8"/>
  <c r="O6" i="8"/>
  <c r="N7" i="8"/>
  <c r="O7" i="8"/>
  <c r="N8" i="8"/>
  <c r="O8" i="8"/>
  <c r="N9" i="8"/>
  <c r="O9" i="8"/>
  <c r="N10" i="8"/>
  <c r="O10" i="8"/>
  <c r="N11" i="8"/>
  <c r="O11" i="8"/>
  <c r="N12" i="8"/>
  <c r="O12" i="8"/>
  <c r="N13" i="8"/>
  <c r="O13" i="8"/>
  <c r="N14" i="8"/>
  <c r="O14" i="8"/>
  <c r="N15" i="8"/>
  <c r="O15" i="8"/>
  <c r="N16" i="8"/>
  <c r="O16" i="8"/>
  <c r="N17" i="8"/>
  <c r="O17" i="8"/>
  <c r="N18" i="8"/>
  <c r="O18" i="8"/>
  <c r="N19" i="8"/>
  <c r="O19" i="8"/>
  <c r="N20" i="8"/>
  <c r="O20" i="8"/>
  <c r="N21" i="8"/>
  <c r="O21" i="8"/>
  <c r="N22" i="8"/>
  <c r="O22" i="8"/>
  <c r="N23" i="8"/>
  <c r="O23" i="8"/>
  <c r="N24" i="8"/>
  <c r="O24" i="8"/>
  <c r="N25" i="8"/>
  <c r="O25" i="8"/>
  <c r="N26" i="8"/>
  <c r="O26" i="8"/>
  <c r="N27" i="8"/>
  <c r="O27" i="8"/>
  <c r="N28" i="8"/>
  <c r="O28" i="8"/>
  <c r="N29" i="8"/>
  <c r="O29" i="8"/>
  <c r="N30" i="8"/>
  <c r="O30" i="8"/>
  <c r="N31" i="8"/>
  <c r="O31" i="8"/>
  <c r="N32" i="8"/>
  <c r="O32" i="8"/>
  <c r="N33" i="8"/>
  <c r="O33" i="8"/>
  <c r="N34" i="8"/>
  <c r="O34" i="8"/>
  <c r="N35" i="8"/>
  <c r="O35" i="8"/>
  <c r="N36" i="8"/>
  <c r="O36" i="8"/>
  <c r="N37" i="8"/>
  <c r="O37" i="8"/>
  <c r="N38" i="8"/>
  <c r="O38" i="8"/>
  <c r="N39" i="8"/>
  <c r="O39" i="8"/>
  <c r="N40" i="8"/>
  <c r="O40" i="8"/>
  <c r="N41" i="8"/>
  <c r="O41" i="8"/>
  <c r="N42" i="8"/>
  <c r="O42" i="8"/>
  <c r="N43" i="8"/>
  <c r="O43" i="8"/>
  <c r="N44" i="8"/>
  <c r="O44" i="8"/>
  <c r="N45" i="8"/>
  <c r="O45" i="8"/>
  <c r="N46" i="8"/>
  <c r="O46" i="8"/>
  <c r="N47" i="8"/>
  <c r="O47" i="8"/>
  <c r="N48" i="8"/>
  <c r="O48" i="8"/>
  <c r="N49" i="8"/>
  <c r="O49" i="8"/>
  <c r="N50" i="8"/>
  <c r="O50" i="8"/>
  <c r="N51" i="8"/>
  <c r="O51" i="8"/>
  <c r="N52" i="8"/>
  <c r="O52" i="8"/>
  <c r="N53" i="8"/>
  <c r="O53" i="8"/>
  <c r="N54" i="8"/>
  <c r="O54" i="8"/>
  <c r="N55" i="8"/>
  <c r="O55" i="8"/>
  <c r="N56" i="8"/>
  <c r="O56" i="8"/>
  <c r="N57" i="8"/>
  <c r="O57" i="8"/>
  <c r="N58" i="8"/>
  <c r="O58" i="8"/>
  <c r="N59" i="8"/>
  <c r="O59" i="8"/>
  <c r="N60" i="8"/>
  <c r="O60" i="8"/>
  <c r="N61" i="8"/>
  <c r="O61" i="8"/>
  <c r="N62" i="8"/>
  <c r="O62" i="8"/>
  <c r="N63" i="8"/>
  <c r="O63" i="8"/>
  <c r="N64" i="8"/>
  <c r="O64" i="8"/>
  <c r="N65" i="8"/>
  <c r="O65" i="8"/>
  <c r="N66" i="8"/>
  <c r="O66" i="8"/>
  <c r="N67" i="8"/>
  <c r="O67" i="8"/>
  <c r="N68" i="8"/>
  <c r="O68" i="8"/>
  <c r="N69" i="8"/>
  <c r="O69" i="8"/>
  <c r="N70" i="8"/>
  <c r="O70" i="8"/>
  <c r="N71" i="8"/>
  <c r="O71" i="8"/>
  <c r="N72" i="8"/>
  <c r="O72" i="8"/>
  <c r="N73" i="8"/>
  <c r="O73" i="8"/>
  <c r="N74" i="8"/>
  <c r="O74" i="8"/>
  <c r="N75" i="8"/>
  <c r="O75" i="8"/>
  <c r="N76" i="8"/>
  <c r="O76" i="8"/>
  <c r="N77" i="8"/>
  <c r="O77" i="8"/>
  <c r="N78" i="8"/>
  <c r="O78" i="8"/>
  <c r="N79" i="8"/>
  <c r="O79" i="8"/>
  <c r="N80" i="8"/>
  <c r="O80" i="8"/>
  <c r="N81" i="8"/>
  <c r="O81" i="8"/>
  <c r="N82" i="8"/>
  <c r="O82" i="8"/>
  <c r="N83" i="8"/>
  <c r="O83" i="8"/>
  <c r="N84" i="8"/>
  <c r="O84" i="8"/>
  <c r="N85" i="8"/>
  <c r="O85" i="8"/>
  <c r="N86" i="8"/>
  <c r="O86" i="8"/>
  <c r="N87" i="8"/>
  <c r="O87" i="8"/>
  <c r="N88" i="8"/>
  <c r="O88" i="8"/>
  <c r="N89" i="8"/>
  <c r="O89" i="8"/>
  <c r="N90" i="8"/>
  <c r="O90" i="8"/>
  <c r="N91" i="8"/>
  <c r="O91" i="8"/>
  <c r="N92" i="8"/>
  <c r="O92" i="8"/>
  <c r="N93" i="8"/>
  <c r="O93" i="8"/>
  <c r="N94" i="8"/>
  <c r="O94" i="8"/>
  <c r="N95" i="8"/>
  <c r="O95" i="8"/>
  <c r="N96" i="8"/>
  <c r="O96" i="8"/>
  <c r="N97" i="8"/>
  <c r="O97" i="8"/>
  <c r="N98" i="8"/>
  <c r="O98" i="8"/>
  <c r="N99" i="8"/>
  <c r="O99" i="8"/>
  <c r="N100" i="8"/>
  <c r="O100" i="8"/>
  <c r="O2" i="8"/>
  <c r="N2" i="8"/>
  <c r="K102" i="6"/>
  <c r="J102" i="6"/>
  <c r="G102" i="6"/>
  <c r="T1" i="4" l="1"/>
  <c r="S1" i="4"/>
  <c r="R1" i="4"/>
  <c r="A3" i="8"/>
  <c r="B3" i="8"/>
  <c r="A4" i="8"/>
  <c r="B4" i="8"/>
  <c r="A5" i="8"/>
  <c r="B5" i="8"/>
  <c r="A6" i="8"/>
  <c r="B6" i="8"/>
  <c r="A7" i="8"/>
  <c r="B7" i="8"/>
  <c r="A8" i="8"/>
  <c r="B8" i="8"/>
  <c r="A9" i="8"/>
  <c r="B9" i="8"/>
  <c r="A10" i="8"/>
  <c r="B10" i="8"/>
  <c r="A11" i="8"/>
  <c r="B11" i="8"/>
  <c r="A12" i="8"/>
  <c r="B12" i="8"/>
  <c r="A13" i="8"/>
  <c r="B13" i="8"/>
  <c r="A14" i="8"/>
  <c r="B14" i="8"/>
  <c r="A15" i="8"/>
  <c r="B15" i="8"/>
  <c r="A16" i="8"/>
  <c r="B16" i="8"/>
  <c r="A17" i="8"/>
  <c r="B17" i="8"/>
  <c r="A18" i="8"/>
  <c r="B18" i="8"/>
  <c r="A19" i="8"/>
  <c r="B19" i="8"/>
  <c r="A20" i="8"/>
  <c r="B20" i="8"/>
  <c r="A21" i="8"/>
  <c r="B21" i="8"/>
  <c r="A22" i="8"/>
  <c r="B22" i="8"/>
  <c r="A23" i="8"/>
  <c r="B23" i="8"/>
  <c r="A24" i="8"/>
  <c r="B24" i="8"/>
  <c r="A25" i="8"/>
  <c r="B25" i="8"/>
  <c r="A26" i="8"/>
  <c r="B26" i="8"/>
  <c r="A27" i="8"/>
  <c r="B27" i="8"/>
  <c r="A28" i="8"/>
  <c r="B28" i="8"/>
  <c r="A29" i="8"/>
  <c r="B29" i="8"/>
  <c r="A30" i="8"/>
  <c r="B30" i="8"/>
  <c r="A31" i="8"/>
  <c r="B31" i="8"/>
  <c r="A32" i="8"/>
  <c r="B32" i="8"/>
  <c r="A33" i="8"/>
  <c r="B33" i="8"/>
  <c r="A34" i="8"/>
  <c r="B34" i="8"/>
  <c r="A35" i="8"/>
  <c r="B35" i="8"/>
  <c r="A36" i="8"/>
  <c r="B36" i="8"/>
  <c r="A37" i="8"/>
  <c r="B37" i="8"/>
  <c r="A38" i="8"/>
  <c r="B38" i="8"/>
  <c r="A39" i="8"/>
  <c r="B39" i="8"/>
  <c r="A40" i="8"/>
  <c r="B40" i="8"/>
  <c r="A41" i="8"/>
  <c r="B41" i="8"/>
  <c r="A42" i="8"/>
  <c r="B42" i="8"/>
  <c r="A43" i="8"/>
  <c r="B43" i="8"/>
  <c r="A44" i="8"/>
  <c r="B44" i="8"/>
  <c r="A45" i="8"/>
  <c r="B45" i="8"/>
  <c r="A46" i="8"/>
  <c r="B46" i="8"/>
  <c r="A47" i="8"/>
  <c r="B47" i="8"/>
  <c r="A48" i="8"/>
  <c r="B48" i="8"/>
  <c r="A49" i="8"/>
  <c r="B49" i="8"/>
  <c r="A50" i="8"/>
  <c r="B50" i="8"/>
  <c r="A51" i="8"/>
  <c r="B51" i="8"/>
  <c r="A52" i="8"/>
  <c r="B52" i="8"/>
  <c r="A53" i="8"/>
  <c r="B53" i="8"/>
  <c r="A54" i="8"/>
  <c r="B54" i="8"/>
  <c r="A55" i="8"/>
  <c r="B55" i="8"/>
  <c r="A56" i="8"/>
  <c r="B56" i="8"/>
  <c r="A57" i="8"/>
  <c r="B57" i="8"/>
  <c r="A58" i="8"/>
  <c r="B58" i="8"/>
  <c r="A59" i="8"/>
  <c r="B59" i="8"/>
  <c r="A60" i="8"/>
  <c r="B60" i="8"/>
  <c r="A61" i="8"/>
  <c r="B61" i="8"/>
  <c r="A62" i="8"/>
  <c r="B62" i="8"/>
  <c r="A63" i="8"/>
  <c r="B63" i="8"/>
  <c r="A64" i="8"/>
  <c r="B64" i="8"/>
  <c r="A65" i="8"/>
  <c r="B65" i="8"/>
  <c r="A66" i="8"/>
  <c r="B66" i="8"/>
  <c r="A67" i="8"/>
  <c r="B67" i="8"/>
  <c r="A68" i="8"/>
  <c r="B68" i="8"/>
  <c r="A69" i="8"/>
  <c r="B69" i="8"/>
  <c r="A70" i="8"/>
  <c r="B70" i="8"/>
  <c r="A71" i="8"/>
  <c r="B71" i="8"/>
  <c r="A72" i="8"/>
  <c r="B72" i="8"/>
  <c r="A73" i="8"/>
  <c r="B73" i="8"/>
  <c r="A74" i="8"/>
  <c r="B74" i="8"/>
  <c r="A75" i="8"/>
  <c r="B75" i="8"/>
  <c r="A76" i="8"/>
  <c r="B76" i="8"/>
  <c r="A77" i="8"/>
  <c r="B77" i="8"/>
  <c r="A78" i="8"/>
  <c r="B78" i="8"/>
  <c r="A79" i="8"/>
  <c r="B79" i="8"/>
  <c r="A80" i="8"/>
  <c r="B80" i="8"/>
  <c r="A81" i="8"/>
  <c r="B81" i="8"/>
  <c r="A82" i="8"/>
  <c r="B82" i="8"/>
  <c r="A83" i="8"/>
  <c r="B83" i="8"/>
  <c r="A84" i="8"/>
  <c r="B84" i="8"/>
  <c r="A85" i="8"/>
  <c r="B85" i="8"/>
  <c r="A86" i="8"/>
  <c r="B86" i="8"/>
  <c r="A87" i="8"/>
  <c r="B87" i="8"/>
  <c r="A88" i="8"/>
  <c r="B88" i="8"/>
  <c r="A89" i="8"/>
  <c r="B89" i="8"/>
  <c r="A90" i="8"/>
  <c r="B90" i="8"/>
  <c r="A91" i="8"/>
  <c r="B91" i="8"/>
  <c r="A92" i="8"/>
  <c r="B92" i="8"/>
  <c r="A93" i="8"/>
  <c r="B93" i="8"/>
  <c r="A94" i="8"/>
  <c r="B94" i="8"/>
  <c r="A95" i="8"/>
  <c r="B95" i="8"/>
  <c r="A96" i="8"/>
  <c r="B96" i="8"/>
  <c r="A97" i="8"/>
  <c r="B97" i="8"/>
  <c r="A98" i="8"/>
  <c r="B98" i="8"/>
  <c r="A99" i="8"/>
  <c r="B99" i="8"/>
  <c r="A100" i="8"/>
  <c r="B100" i="8"/>
  <c r="B2" i="8"/>
  <c r="A2" i="8"/>
  <c r="A3" i="6"/>
  <c r="B3" i="6"/>
  <c r="A4" i="6"/>
  <c r="B4" i="6"/>
  <c r="A5" i="6"/>
  <c r="B5" i="6"/>
  <c r="A6" i="6"/>
  <c r="B6" i="6"/>
  <c r="A7" i="6"/>
  <c r="B7" i="6"/>
  <c r="A8" i="6"/>
  <c r="B8" i="6"/>
  <c r="A9" i="6"/>
  <c r="B9" i="6"/>
  <c r="A10" i="6"/>
  <c r="B10" i="6"/>
  <c r="A11" i="6"/>
  <c r="B11" i="6"/>
  <c r="A12" i="6"/>
  <c r="B12" i="6"/>
  <c r="A13" i="6"/>
  <c r="B13" i="6"/>
  <c r="A14" i="6"/>
  <c r="B14" i="6"/>
  <c r="A15" i="6"/>
  <c r="B15" i="6"/>
  <c r="A16" i="6"/>
  <c r="B16" i="6"/>
  <c r="A19" i="6"/>
  <c r="B19" i="6"/>
  <c r="A17" i="6"/>
  <c r="B17" i="6"/>
  <c r="A18" i="6"/>
  <c r="B18" i="6"/>
  <c r="A20" i="6"/>
  <c r="B20" i="6"/>
  <c r="A21" i="6"/>
  <c r="B21" i="6"/>
  <c r="A22" i="6"/>
  <c r="B22" i="6"/>
  <c r="A23" i="6"/>
  <c r="B23" i="6"/>
  <c r="A24" i="6"/>
  <c r="B24" i="6"/>
  <c r="A25" i="6"/>
  <c r="B25" i="6"/>
  <c r="A26" i="6"/>
  <c r="B26" i="6"/>
  <c r="A27" i="6"/>
  <c r="B27" i="6"/>
  <c r="A28" i="6"/>
  <c r="B28" i="6"/>
  <c r="A29" i="6"/>
  <c r="B29" i="6"/>
  <c r="A30" i="6"/>
  <c r="B30" i="6"/>
  <c r="A31" i="6"/>
  <c r="B31" i="6"/>
  <c r="A32" i="6"/>
  <c r="B32" i="6"/>
  <c r="A33" i="6"/>
  <c r="B33" i="6"/>
  <c r="A34" i="6"/>
  <c r="B34" i="6"/>
  <c r="A35" i="6"/>
  <c r="B35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A43" i="6"/>
  <c r="B43" i="6"/>
  <c r="A44" i="6"/>
  <c r="B44" i="6"/>
  <c r="A45" i="6"/>
  <c r="B45" i="6"/>
  <c r="A46" i="6"/>
  <c r="B46" i="6"/>
  <c r="A47" i="6"/>
  <c r="B47" i="6"/>
  <c r="A48" i="6"/>
  <c r="B48" i="6"/>
  <c r="A49" i="6"/>
  <c r="B49" i="6"/>
  <c r="A50" i="6"/>
  <c r="B50" i="6"/>
  <c r="A51" i="6"/>
  <c r="B51" i="6"/>
  <c r="A52" i="6"/>
  <c r="B52" i="6"/>
  <c r="A53" i="6"/>
  <c r="B53" i="6"/>
  <c r="A54" i="6"/>
  <c r="B54" i="6"/>
  <c r="A55" i="6"/>
  <c r="B55" i="6"/>
  <c r="A56" i="6"/>
  <c r="B56" i="6"/>
  <c r="A57" i="6"/>
  <c r="B57" i="6"/>
  <c r="A58" i="6"/>
  <c r="B58" i="6"/>
  <c r="A59" i="6"/>
  <c r="B59" i="6"/>
  <c r="A60" i="6"/>
  <c r="B60" i="6"/>
  <c r="A61" i="6"/>
  <c r="B61" i="6"/>
  <c r="A62" i="6"/>
  <c r="B62" i="6"/>
  <c r="A63" i="6"/>
  <c r="B63" i="6"/>
  <c r="A64" i="6"/>
  <c r="B64" i="6"/>
  <c r="A65" i="6"/>
  <c r="B65" i="6"/>
  <c r="A66" i="6"/>
  <c r="B66" i="6"/>
  <c r="A67" i="6"/>
  <c r="B67" i="6"/>
  <c r="A68" i="6"/>
  <c r="B68" i="6"/>
  <c r="A69" i="6"/>
  <c r="B69" i="6"/>
  <c r="A70" i="6"/>
  <c r="B70" i="6"/>
  <c r="A71" i="6"/>
  <c r="B71" i="6"/>
  <c r="A72" i="6"/>
  <c r="B72" i="6"/>
  <c r="A73" i="6"/>
  <c r="B73" i="6"/>
  <c r="A74" i="6"/>
  <c r="B74" i="6"/>
  <c r="A75" i="6"/>
  <c r="B75" i="6"/>
  <c r="A76" i="6"/>
  <c r="B76" i="6"/>
  <c r="A77" i="6"/>
  <c r="B77" i="6"/>
  <c r="A78" i="6"/>
  <c r="B78" i="6"/>
  <c r="A79" i="6"/>
  <c r="B79" i="6"/>
  <c r="A80" i="6"/>
  <c r="B80" i="6"/>
  <c r="A81" i="6"/>
  <c r="B81" i="6"/>
  <c r="A82" i="6"/>
  <c r="B82" i="6"/>
  <c r="A83" i="6"/>
  <c r="B83" i="6"/>
  <c r="A84" i="6"/>
  <c r="B84" i="6"/>
  <c r="A85" i="6"/>
  <c r="B85" i="6"/>
  <c r="A86" i="6"/>
  <c r="B86" i="6"/>
  <c r="A87" i="6"/>
  <c r="B87" i="6"/>
  <c r="A88" i="6"/>
  <c r="B88" i="6"/>
  <c r="A89" i="6"/>
  <c r="B89" i="6"/>
  <c r="A90" i="6"/>
  <c r="B90" i="6"/>
  <c r="A91" i="6"/>
  <c r="B91" i="6"/>
  <c r="A92" i="6"/>
  <c r="B92" i="6"/>
  <c r="A93" i="6"/>
  <c r="B93" i="6"/>
  <c r="A94" i="6"/>
  <c r="B94" i="6"/>
  <c r="A95" i="6"/>
  <c r="B95" i="6"/>
  <c r="A96" i="6"/>
  <c r="B96" i="6"/>
  <c r="A97" i="6"/>
  <c r="B97" i="6"/>
  <c r="A98" i="6"/>
  <c r="B98" i="6"/>
  <c r="A99" i="6"/>
  <c r="B99" i="6"/>
  <c r="A100" i="6"/>
  <c r="B100" i="6"/>
  <c r="A2" i="6"/>
  <c r="B2" i="6"/>
  <c r="A3" i="4"/>
  <c r="B3" i="4"/>
  <c r="A4" i="4"/>
  <c r="B4" i="4"/>
  <c r="A5" i="4"/>
  <c r="B5" i="4"/>
  <c r="A6" i="4"/>
  <c r="B6" i="4"/>
  <c r="A7" i="4"/>
  <c r="B7" i="4"/>
  <c r="A8" i="4"/>
  <c r="B8" i="4"/>
  <c r="A9" i="4"/>
  <c r="B9" i="4"/>
  <c r="A10" i="4"/>
  <c r="B10" i="4"/>
  <c r="A11" i="4"/>
  <c r="B11" i="4"/>
  <c r="A12" i="4"/>
  <c r="B12" i="4"/>
  <c r="A13" i="4"/>
  <c r="B13" i="4"/>
  <c r="A14" i="4"/>
  <c r="B14" i="4"/>
  <c r="A15" i="4"/>
  <c r="B15" i="4"/>
  <c r="A16" i="4"/>
  <c r="B16" i="4"/>
  <c r="A17" i="4"/>
  <c r="B17" i="4"/>
  <c r="A18" i="4"/>
  <c r="B18" i="4"/>
  <c r="A19" i="4"/>
  <c r="B19" i="4"/>
  <c r="A20" i="4"/>
  <c r="B20" i="4"/>
  <c r="A21" i="4"/>
  <c r="B21" i="4"/>
  <c r="A22" i="4"/>
  <c r="B22" i="4"/>
  <c r="A23" i="4"/>
  <c r="B23" i="4"/>
  <c r="A24" i="4"/>
  <c r="B24" i="4"/>
  <c r="A25" i="4"/>
  <c r="B25" i="4"/>
  <c r="A26" i="4"/>
  <c r="B26" i="4"/>
  <c r="A27" i="4"/>
  <c r="B27" i="4"/>
  <c r="A28" i="4"/>
  <c r="B28" i="4"/>
  <c r="A29" i="4"/>
  <c r="B29" i="4"/>
  <c r="A30" i="4"/>
  <c r="B30" i="4"/>
  <c r="A31" i="4"/>
  <c r="B31" i="4"/>
  <c r="A32" i="4"/>
  <c r="B32" i="4"/>
  <c r="A33" i="4"/>
  <c r="B33" i="4"/>
  <c r="A34" i="4"/>
  <c r="B34" i="4"/>
  <c r="A35" i="4"/>
  <c r="B35" i="4"/>
  <c r="A36" i="4"/>
  <c r="B36" i="4"/>
  <c r="A37" i="4"/>
  <c r="B37" i="4"/>
  <c r="A38" i="4"/>
  <c r="B38" i="4"/>
  <c r="A39" i="4"/>
  <c r="B39" i="4"/>
  <c r="A40" i="4"/>
  <c r="B40" i="4"/>
  <c r="A41" i="4"/>
  <c r="B41" i="4"/>
  <c r="A42" i="4"/>
  <c r="B42" i="4"/>
  <c r="A43" i="4"/>
  <c r="B43" i="4"/>
  <c r="A44" i="4"/>
  <c r="B44" i="4"/>
  <c r="A45" i="4"/>
  <c r="B45" i="4"/>
  <c r="A46" i="4"/>
  <c r="B46" i="4"/>
  <c r="A47" i="4"/>
  <c r="B47" i="4"/>
  <c r="A48" i="4"/>
  <c r="B48" i="4"/>
  <c r="A49" i="4"/>
  <c r="B49" i="4"/>
  <c r="A50" i="4"/>
  <c r="B50" i="4"/>
  <c r="A51" i="4"/>
  <c r="B51" i="4"/>
  <c r="A52" i="4"/>
  <c r="B52" i="4"/>
  <c r="A53" i="4"/>
  <c r="B53" i="4"/>
  <c r="A54" i="4"/>
  <c r="B54" i="4"/>
  <c r="A55" i="4"/>
  <c r="B55" i="4"/>
  <c r="A56" i="4"/>
  <c r="B56" i="4"/>
  <c r="A57" i="4"/>
  <c r="B57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A84" i="4"/>
  <c r="B84" i="4"/>
  <c r="A85" i="4"/>
  <c r="B85" i="4"/>
  <c r="A86" i="4"/>
  <c r="B86" i="4"/>
  <c r="A87" i="4"/>
  <c r="B87" i="4"/>
  <c r="A88" i="4"/>
  <c r="B88" i="4"/>
  <c r="A89" i="4"/>
  <c r="B89" i="4"/>
  <c r="A90" i="4"/>
  <c r="B90" i="4"/>
  <c r="A91" i="4"/>
  <c r="B91" i="4"/>
  <c r="A92" i="4"/>
  <c r="B92" i="4"/>
  <c r="A93" i="4"/>
  <c r="B93" i="4"/>
  <c r="A94" i="4"/>
  <c r="B94" i="4"/>
  <c r="A95" i="4"/>
  <c r="B95" i="4"/>
  <c r="A96" i="4"/>
  <c r="B96" i="4"/>
  <c r="A97" i="4"/>
  <c r="B97" i="4"/>
  <c r="A98" i="4"/>
  <c r="B98" i="4"/>
  <c r="A99" i="4"/>
  <c r="B99" i="4"/>
  <c r="A100" i="4"/>
  <c r="B100" i="4"/>
  <c r="B2" i="4"/>
  <c r="A2" i="4"/>
  <c r="J101" i="8"/>
  <c r="G101" i="8"/>
  <c r="J101" i="4"/>
  <c r="G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M2" i="4"/>
  <c r="J6" i="2"/>
  <c r="J8" i="2"/>
  <c r="J10" i="2"/>
  <c r="J12" i="2"/>
  <c r="J14" i="2"/>
  <c r="J16" i="2"/>
  <c r="J18" i="2"/>
  <c r="J20" i="2"/>
  <c r="J22" i="2"/>
  <c r="J24" i="2"/>
  <c r="J26" i="2"/>
  <c r="J28" i="2"/>
  <c r="J30" i="2"/>
  <c r="J32" i="2"/>
  <c r="J34" i="2"/>
  <c r="J36" i="2"/>
  <c r="J38" i="2"/>
  <c r="J40" i="2"/>
  <c r="J42" i="2"/>
  <c r="J44" i="2"/>
  <c r="J46" i="2"/>
  <c r="J48" i="2"/>
  <c r="J50" i="2"/>
  <c r="J52" i="2"/>
  <c r="J54" i="2"/>
  <c r="J56" i="2"/>
  <c r="J58" i="2"/>
  <c r="J60" i="2"/>
  <c r="J62" i="2"/>
  <c r="AJ8" i="2"/>
  <c r="AL8" i="2" s="1"/>
  <c r="AJ6" i="2"/>
  <c r="AL6" i="2" s="1"/>
  <c r="AJ4" i="2"/>
  <c r="AL4" i="2" s="1"/>
  <c r="AI8" i="2"/>
  <c r="AK8" i="2" s="1"/>
  <c r="AI6" i="2"/>
  <c r="AK6" i="2" s="1"/>
  <c r="AI4" i="2"/>
  <c r="AK4" i="2" s="1"/>
  <c r="AI10" i="2"/>
  <c r="AK10" i="2" s="1"/>
  <c r="AJ10" i="2"/>
  <c r="AL10" i="2" s="1"/>
  <c r="AI12" i="2"/>
  <c r="AK12" i="2" s="1"/>
  <c r="AJ12" i="2"/>
  <c r="AL12" i="2" s="1"/>
  <c r="AI14" i="2"/>
  <c r="AK14" i="2" s="1"/>
  <c r="AJ14" i="2"/>
  <c r="AL14" i="2" s="1"/>
  <c r="AI16" i="2"/>
  <c r="AK16" i="2" s="1"/>
  <c r="AJ16" i="2"/>
  <c r="AL16" i="2" s="1"/>
  <c r="AI18" i="2"/>
  <c r="AK18" i="2" s="1"/>
  <c r="AJ18" i="2"/>
  <c r="AL18" i="2" s="1"/>
  <c r="AI20" i="2"/>
  <c r="AK20" i="2" s="1"/>
  <c r="AJ20" i="2"/>
  <c r="AL20" i="2" s="1"/>
  <c r="AI22" i="2"/>
  <c r="AK22" i="2" s="1"/>
  <c r="AJ22" i="2"/>
  <c r="AL22" i="2" s="1"/>
  <c r="AI24" i="2"/>
  <c r="AK24" i="2" s="1"/>
  <c r="AJ24" i="2"/>
  <c r="AL24" i="2" s="1"/>
  <c r="AI26" i="2"/>
  <c r="AK26" i="2" s="1"/>
  <c r="AJ26" i="2"/>
  <c r="AL26" i="2" s="1"/>
  <c r="AI28" i="2"/>
  <c r="AK28" i="2" s="1"/>
  <c r="AJ28" i="2"/>
  <c r="AL28" i="2" s="1"/>
  <c r="AI30" i="2"/>
  <c r="AK30" i="2" s="1"/>
  <c r="AJ30" i="2"/>
  <c r="AL30" i="2" s="1"/>
  <c r="AI32" i="2"/>
  <c r="AK32" i="2" s="1"/>
  <c r="AJ32" i="2"/>
  <c r="AL32" i="2" s="1"/>
  <c r="AI34" i="2"/>
  <c r="AK34" i="2" s="1"/>
  <c r="AJ34" i="2"/>
  <c r="AL34" i="2" s="1"/>
  <c r="AI36" i="2"/>
  <c r="AK36" i="2" s="1"/>
  <c r="AJ36" i="2"/>
  <c r="AL36" i="2" s="1"/>
  <c r="AI38" i="2"/>
  <c r="AK38" i="2" s="1"/>
  <c r="AJ38" i="2"/>
  <c r="AL38" i="2" s="1"/>
  <c r="AI40" i="2"/>
  <c r="AK40" i="2" s="1"/>
  <c r="AJ40" i="2"/>
  <c r="AL40" i="2" s="1"/>
  <c r="AI42" i="2"/>
  <c r="AK42" i="2" s="1"/>
  <c r="AJ42" i="2"/>
  <c r="AL42" i="2" s="1"/>
  <c r="AI44" i="2"/>
  <c r="AK44" i="2" s="1"/>
  <c r="AJ44" i="2"/>
  <c r="AL44" i="2" s="1"/>
  <c r="AI46" i="2"/>
  <c r="AK46" i="2" s="1"/>
  <c r="AJ46" i="2"/>
  <c r="AL46" i="2" s="1"/>
  <c r="AI48" i="2"/>
  <c r="AK48" i="2" s="1"/>
  <c r="AJ48" i="2"/>
  <c r="AL48" i="2" s="1"/>
  <c r="AI50" i="2"/>
  <c r="AK50" i="2" s="1"/>
  <c r="AJ50" i="2"/>
  <c r="AL50" i="2" s="1"/>
  <c r="AI52" i="2"/>
  <c r="AK52" i="2" s="1"/>
  <c r="AJ52" i="2"/>
  <c r="AL52" i="2" s="1"/>
  <c r="AI54" i="2"/>
  <c r="AK54" i="2" s="1"/>
  <c r="AJ54" i="2"/>
  <c r="AL54" i="2" s="1"/>
  <c r="AI56" i="2"/>
  <c r="AK56" i="2" s="1"/>
  <c r="AJ56" i="2"/>
  <c r="AL56" i="2" s="1"/>
  <c r="AI58" i="2"/>
  <c r="AK58" i="2" s="1"/>
  <c r="AJ58" i="2"/>
  <c r="AL58" i="2" s="1"/>
  <c r="AI60" i="2"/>
  <c r="AK60" i="2" s="1"/>
  <c r="AJ60" i="2"/>
  <c r="AL60" i="2" s="1"/>
  <c r="AI62" i="2"/>
  <c r="AK62" i="2" s="1"/>
  <c r="AJ62" i="2"/>
  <c r="AL62" i="2" s="1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K64" i="2"/>
  <c r="L5" i="2"/>
  <c r="N5" i="2" s="1"/>
  <c r="P5" i="2" s="1"/>
  <c r="R5" i="2" s="1"/>
  <c r="T5" i="2" s="1"/>
  <c r="V5" i="2" s="1"/>
  <c r="X5" i="2" s="1"/>
  <c r="Z5" i="2" s="1"/>
  <c r="AB5" i="2" s="1"/>
  <c r="AD5" i="2" s="1"/>
  <c r="AF5" i="2" s="1"/>
  <c r="AH5" i="2" s="1"/>
  <c r="K5" i="2"/>
  <c r="M5" i="2" s="1"/>
  <c r="O5" i="2" s="1"/>
  <c r="Q5" i="2" s="1"/>
  <c r="S5" i="2" s="1"/>
  <c r="U5" i="2" s="1"/>
  <c r="W5" i="2" s="1"/>
  <c r="Y5" i="2" s="1"/>
  <c r="AA5" i="2" s="1"/>
  <c r="AC5" i="2" s="1"/>
  <c r="AE5" i="2" s="1"/>
  <c r="AG5" i="2" s="1"/>
  <c r="N5" i="4" l="1"/>
  <c r="N6" i="4"/>
  <c r="N7" i="4"/>
  <c r="N8" i="4"/>
  <c r="N9" i="4"/>
  <c r="N10" i="4"/>
  <c r="N11" i="4"/>
  <c r="N12" i="4"/>
  <c r="N13" i="4"/>
  <c r="N15" i="4"/>
  <c r="N16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P2" i="8"/>
  <c r="Q2" i="8" s="1"/>
  <c r="R2" i="8" s="1"/>
  <c r="Z32" i="8"/>
  <c r="Z31" i="8"/>
  <c r="Q5" i="4"/>
  <c r="P5" i="4" s="1"/>
  <c r="J4" i="2"/>
  <c r="S5" i="1" l="1"/>
  <c r="S4" i="1"/>
  <c r="O5" i="1"/>
  <c r="O4" i="1"/>
  <c r="K5" i="1"/>
  <c r="K4" i="1"/>
  <c r="J9" i="1"/>
  <c r="R9" i="1"/>
  <c r="N9" i="1"/>
  <c r="T5" i="1"/>
  <c r="P5" i="1"/>
  <c r="L5" i="1"/>
  <c r="H5" i="1"/>
  <c r="G5" i="1"/>
  <c r="T4" i="1"/>
  <c r="P4" i="1"/>
  <c r="L4" i="1"/>
  <c r="H4" i="1"/>
  <c r="D4" i="1"/>
  <c r="G24" i="1"/>
  <c r="E24" i="1"/>
  <c r="E4" i="1" s="1"/>
  <c r="G4" i="1"/>
  <c r="U4" i="1" l="1"/>
  <c r="I4" i="1"/>
  <c r="M4" i="1"/>
  <c r="Q4" i="1"/>
  <c r="U5" i="1"/>
  <c r="Q5" i="1"/>
  <c r="M5" i="1"/>
  <c r="I5" i="1"/>
  <c r="G7" i="10"/>
  <c r="H7" i="10" s="1"/>
  <c r="G8" i="10"/>
  <c r="H8" i="10" s="1"/>
  <c r="G9" i="10"/>
  <c r="H9" i="10" s="1"/>
  <c r="G10" i="10"/>
  <c r="H10" i="10" s="1"/>
  <c r="G11" i="10"/>
  <c r="H11" i="10" s="1"/>
  <c r="G12" i="10"/>
  <c r="H12" i="10" s="1"/>
  <c r="G13" i="10"/>
  <c r="H13" i="10" s="1"/>
  <c r="G14" i="10"/>
  <c r="H14" i="10" s="1"/>
  <c r="G15" i="10"/>
  <c r="H15" i="10" s="1"/>
  <c r="G16" i="10"/>
  <c r="H16" i="10" s="1"/>
  <c r="G17" i="10"/>
  <c r="H17" i="10" s="1"/>
  <c r="G18" i="10"/>
  <c r="H18" i="10" s="1"/>
  <c r="G19" i="10"/>
  <c r="H19" i="10" s="1"/>
  <c r="G20" i="10"/>
  <c r="H20" i="10" s="1"/>
  <c r="G21" i="10"/>
  <c r="H21" i="10" s="1"/>
  <c r="G22" i="10"/>
  <c r="H22" i="10" s="1"/>
  <c r="G23" i="10"/>
  <c r="H23" i="10" s="1"/>
  <c r="G24" i="10"/>
  <c r="H24" i="10" s="1"/>
  <c r="G25" i="10"/>
  <c r="H25" i="10" s="1"/>
  <c r="G26" i="10"/>
  <c r="H26" i="10" s="1"/>
  <c r="G27" i="10"/>
  <c r="H27" i="10" s="1"/>
  <c r="G28" i="10"/>
  <c r="H28" i="10" s="1"/>
  <c r="G29" i="10"/>
  <c r="H29" i="10" s="1"/>
  <c r="G30" i="10"/>
  <c r="H30" i="10"/>
  <c r="G31" i="10"/>
  <c r="H31" i="10" s="1"/>
  <c r="G32" i="10"/>
  <c r="H32" i="10" s="1"/>
  <c r="G33" i="10"/>
  <c r="H33" i="10" s="1"/>
  <c r="G34" i="10"/>
  <c r="H34" i="10"/>
  <c r="G35" i="10"/>
  <c r="H35" i="10" s="1"/>
  <c r="G36" i="10"/>
  <c r="H36" i="10" s="1"/>
  <c r="G37" i="10"/>
  <c r="H37" i="10" s="1"/>
  <c r="G38" i="10"/>
  <c r="H38" i="10" s="1"/>
  <c r="G39" i="10"/>
  <c r="H39" i="10" s="1"/>
  <c r="G40" i="10"/>
  <c r="H40" i="10" s="1"/>
  <c r="G41" i="10"/>
  <c r="H41" i="10" s="1"/>
  <c r="G42" i="10"/>
  <c r="H42" i="10" s="1"/>
  <c r="G43" i="10"/>
  <c r="H43" i="10" s="1"/>
  <c r="G44" i="10"/>
  <c r="H44" i="10" s="1"/>
  <c r="G45" i="10"/>
  <c r="H45" i="10" s="1"/>
  <c r="G46" i="10"/>
  <c r="H46" i="10"/>
  <c r="G47" i="10"/>
  <c r="H47" i="10" s="1"/>
  <c r="G48" i="10"/>
  <c r="H48" i="10" s="1"/>
  <c r="G49" i="10"/>
  <c r="H49" i="10" s="1"/>
  <c r="G50" i="10"/>
  <c r="H50" i="10" s="1"/>
  <c r="G51" i="10"/>
  <c r="H51" i="10" s="1"/>
  <c r="G52" i="10"/>
  <c r="H52" i="10" s="1"/>
  <c r="G53" i="10"/>
  <c r="H53" i="10" s="1"/>
  <c r="G54" i="10"/>
  <c r="H54" i="10"/>
  <c r="G55" i="10"/>
  <c r="H55" i="10" s="1"/>
  <c r="G56" i="10"/>
  <c r="H56" i="10" s="1"/>
  <c r="G57" i="10"/>
  <c r="H57" i="10" s="1"/>
  <c r="G58" i="10"/>
  <c r="H58" i="10" s="1"/>
  <c r="G59" i="10"/>
  <c r="H59" i="10" s="1"/>
  <c r="G60" i="10"/>
  <c r="H60" i="10" s="1"/>
  <c r="G61" i="10"/>
  <c r="H61" i="10" s="1"/>
  <c r="G62" i="10"/>
  <c r="H62" i="10" s="1"/>
  <c r="G63" i="10"/>
  <c r="H63" i="10" s="1"/>
  <c r="G64" i="10"/>
  <c r="H64" i="10"/>
  <c r="G65" i="10"/>
  <c r="H65" i="10" s="1"/>
  <c r="G66" i="10"/>
  <c r="H66" i="10" s="1"/>
  <c r="G67" i="10"/>
  <c r="H67" i="10" s="1"/>
  <c r="G68" i="10"/>
  <c r="H68" i="10" s="1"/>
  <c r="G69" i="10"/>
  <c r="H69" i="10" s="1"/>
  <c r="G70" i="10"/>
  <c r="H70" i="10"/>
  <c r="G71" i="10"/>
  <c r="H71" i="10" s="1"/>
  <c r="G3" i="10"/>
  <c r="H3" i="10" s="1"/>
  <c r="G4" i="10"/>
  <c r="H4" i="10" s="1"/>
  <c r="G5" i="10"/>
  <c r="H5" i="10" s="1"/>
  <c r="G6" i="10"/>
  <c r="H6" i="10" s="1"/>
  <c r="G2" i="10"/>
  <c r="H2" i="10" s="1"/>
  <c r="V4" i="1" l="1"/>
  <c r="V5" i="1"/>
  <c r="AI64" i="2" l="1"/>
  <c r="AK64" i="2" s="1"/>
  <c r="AJ64" i="2"/>
  <c r="AL64" i="2" s="1"/>
  <c r="U28" i="8"/>
  <c r="P14" i="8" l="1"/>
  <c r="P6" i="8"/>
  <c r="P26" i="8"/>
  <c r="P22" i="8"/>
  <c r="P10" i="8"/>
  <c r="P30" i="8"/>
  <c r="P19" i="8"/>
  <c r="P15" i="8"/>
  <c r="P7" i="8"/>
  <c r="P27" i="8"/>
  <c r="P3" i="8"/>
  <c r="P23" i="8"/>
  <c r="P11" i="8"/>
  <c r="P31" i="8"/>
  <c r="P20" i="8"/>
  <c r="P16" i="8"/>
  <c r="P8" i="8"/>
  <c r="P28" i="8"/>
  <c r="P4" i="8"/>
  <c r="P24" i="8"/>
  <c r="P12" i="8"/>
  <c r="P32" i="8"/>
  <c r="P21" i="8"/>
  <c r="P17" i="8"/>
  <c r="P9" i="8"/>
  <c r="P29" i="8"/>
  <c r="P5" i="8"/>
  <c r="P25" i="8"/>
  <c r="P13" i="8"/>
  <c r="P33" i="8"/>
  <c r="P34" i="8"/>
  <c r="P35" i="8"/>
  <c r="Q35" i="8" s="1"/>
  <c r="R35" i="8" s="1"/>
  <c r="P36" i="8"/>
  <c r="Q36" i="8" s="1"/>
  <c r="R36" i="8" s="1"/>
  <c r="P37" i="8"/>
  <c r="Q37" i="8" s="1"/>
  <c r="R37" i="8" s="1"/>
  <c r="P38" i="8"/>
  <c r="Q38" i="8" s="1"/>
  <c r="R38" i="8" s="1"/>
  <c r="P39" i="8"/>
  <c r="P40" i="8"/>
  <c r="Q40" i="8" s="1"/>
  <c r="R40" i="8" s="1"/>
  <c r="P41" i="8"/>
  <c r="Q41" i="8" s="1"/>
  <c r="R41" i="8" s="1"/>
  <c r="P42" i="8"/>
  <c r="Q42" i="8" s="1"/>
  <c r="R42" i="8" s="1"/>
  <c r="P43" i="8"/>
  <c r="Q43" i="8" s="1"/>
  <c r="R43" i="8" s="1"/>
  <c r="P44" i="8"/>
  <c r="Q44" i="8" s="1"/>
  <c r="R44" i="8" s="1"/>
  <c r="P45" i="8"/>
  <c r="Q45" i="8" s="1"/>
  <c r="R45" i="8" s="1"/>
  <c r="P46" i="8"/>
  <c r="Q46" i="8" s="1"/>
  <c r="R46" i="8" s="1"/>
  <c r="P47" i="8"/>
  <c r="P48" i="8"/>
  <c r="Q48" i="8" s="1"/>
  <c r="R48" i="8" s="1"/>
  <c r="P49" i="8"/>
  <c r="Q49" i="8" s="1"/>
  <c r="R49" i="8" s="1"/>
  <c r="P50" i="8"/>
  <c r="Q50" i="8" s="1"/>
  <c r="R50" i="8" s="1"/>
  <c r="P51" i="8"/>
  <c r="Q51" i="8" s="1"/>
  <c r="R51" i="8" s="1"/>
  <c r="P52" i="8"/>
  <c r="Q52" i="8" s="1"/>
  <c r="R52" i="8" s="1"/>
  <c r="P53" i="8"/>
  <c r="Q53" i="8" s="1"/>
  <c r="R53" i="8" s="1"/>
  <c r="P54" i="8"/>
  <c r="Q54" i="8" s="1"/>
  <c r="R54" i="8" s="1"/>
  <c r="P55" i="8"/>
  <c r="P56" i="8"/>
  <c r="Q56" i="8" s="1"/>
  <c r="R56" i="8" s="1"/>
  <c r="P57" i="8"/>
  <c r="Q57" i="8" s="1"/>
  <c r="R57" i="8" s="1"/>
  <c r="P58" i="8"/>
  <c r="Q58" i="8" s="1"/>
  <c r="R58" i="8" s="1"/>
  <c r="P59" i="8"/>
  <c r="Q59" i="8" s="1"/>
  <c r="R59" i="8" s="1"/>
  <c r="P60" i="8"/>
  <c r="Q60" i="8" s="1"/>
  <c r="R60" i="8" s="1"/>
  <c r="P61" i="8"/>
  <c r="Q61" i="8" s="1"/>
  <c r="R61" i="8" s="1"/>
  <c r="P62" i="8"/>
  <c r="Q62" i="8" s="1"/>
  <c r="R62" i="8" s="1"/>
  <c r="P63" i="8"/>
  <c r="Q63" i="8" s="1"/>
  <c r="R63" i="8" s="1"/>
  <c r="P64" i="8"/>
  <c r="Q64" i="8" s="1"/>
  <c r="R64" i="8" s="1"/>
  <c r="P65" i="8"/>
  <c r="Q65" i="8" s="1"/>
  <c r="R65" i="8" s="1"/>
  <c r="P66" i="8"/>
  <c r="Q66" i="8" s="1"/>
  <c r="R66" i="8" s="1"/>
  <c r="P67" i="8"/>
  <c r="Q67" i="8" s="1"/>
  <c r="R67" i="8" s="1"/>
  <c r="P68" i="8"/>
  <c r="Q68" i="8" s="1"/>
  <c r="R68" i="8" s="1"/>
  <c r="P69" i="8"/>
  <c r="Q69" i="8" s="1"/>
  <c r="R69" i="8" s="1"/>
  <c r="P70" i="8"/>
  <c r="Q70" i="8" s="1"/>
  <c r="R70" i="8" s="1"/>
  <c r="P71" i="8"/>
  <c r="Q71" i="8" s="1"/>
  <c r="R71" i="8" s="1"/>
  <c r="P72" i="8"/>
  <c r="Q72" i="8" s="1"/>
  <c r="R72" i="8" s="1"/>
  <c r="P73" i="8"/>
  <c r="Q73" i="8" s="1"/>
  <c r="R73" i="8" s="1"/>
  <c r="P74" i="8"/>
  <c r="Q74" i="8" s="1"/>
  <c r="R74" i="8" s="1"/>
  <c r="P75" i="8"/>
  <c r="Q75" i="8" s="1"/>
  <c r="R75" i="8" s="1"/>
  <c r="P76" i="8"/>
  <c r="Q76" i="8" s="1"/>
  <c r="R76" i="8" s="1"/>
  <c r="P77" i="8"/>
  <c r="Q77" i="8" s="1"/>
  <c r="R77" i="8" s="1"/>
  <c r="P78" i="8"/>
  <c r="Q78" i="8" s="1"/>
  <c r="R78" i="8" s="1"/>
  <c r="P79" i="8"/>
  <c r="Q79" i="8" s="1"/>
  <c r="R79" i="8" s="1"/>
  <c r="P80" i="8"/>
  <c r="Q80" i="8" s="1"/>
  <c r="R80" i="8" s="1"/>
  <c r="P81" i="8"/>
  <c r="Q81" i="8" s="1"/>
  <c r="R81" i="8" s="1"/>
  <c r="P82" i="8"/>
  <c r="Q82" i="8" s="1"/>
  <c r="R82" i="8" s="1"/>
  <c r="P83" i="8"/>
  <c r="Q83" i="8" s="1"/>
  <c r="R83" i="8" s="1"/>
  <c r="P84" i="8"/>
  <c r="Q84" i="8" s="1"/>
  <c r="R84" i="8" s="1"/>
  <c r="P85" i="8"/>
  <c r="Q85" i="8" s="1"/>
  <c r="R85" i="8" s="1"/>
  <c r="P86" i="8"/>
  <c r="Q86" i="8" s="1"/>
  <c r="R86" i="8" s="1"/>
  <c r="P87" i="8"/>
  <c r="Q87" i="8" s="1"/>
  <c r="R87" i="8" s="1"/>
  <c r="P88" i="8"/>
  <c r="Q88" i="8" s="1"/>
  <c r="R88" i="8" s="1"/>
  <c r="P89" i="8"/>
  <c r="Q89" i="8" s="1"/>
  <c r="R89" i="8" s="1"/>
  <c r="P90" i="8"/>
  <c r="Q90" i="8" s="1"/>
  <c r="R90" i="8" s="1"/>
  <c r="P91" i="8"/>
  <c r="Q91" i="8" s="1"/>
  <c r="R91" i="8" s="1"/>
  <c r="P92" i="8"/>
  <c r="Q92" i="8" s="1"/>
  <c r="R92" i="8" s="1"/>
  <c r="P93" i="8"/>
  <c r="Q93" i="8" s="1"/>
  <c r="R93" i="8" s="1"/>
  <c r="P94" i="8"/>
  <c r="Q94" i="8" s="1"/>
  <c r="R94" i="8" s="1"/>
  <c r="P95" i="8"/>
  <c r="Q95" i="8" s="1"/>
  <c r="R95" i="8" s="1"/>
  <c r="P96" i="8"/>
  <c r="Q96" i="8" s="1"/>
  <c r="R96" i="8" s="1"/>
  <c r="P97" i="8"/>
  <c r="Q97" i="8" s="1"/>
  <c r="R97" i="8" s="1"/>
  <c r="P98" i="8"/>
  <c r="Q98" i="8" s="1"/>
  <c r="R98" i="8" s="1"/>
  <c r="P99" i="8"/>
  <c r="Q99" i="8" s="1"/>
  <c r="R99" i="8" s="1"/>
  <c r="P100" i="8"/>
  <c r="Q100" i="8" s="1"/>
  <c r="R100" i="8" s="1"/>
  <c r="P18" i="8"/>
  <c r="AB5" i="8"/>
  <c r="AB6" i="8"/>
  <c r="AB7" i="8"/>
  <c r="AB8" i="8"/>
  <c r="AB9" i="8"/>
  <c r="AB10" i="8"/>
  <c r="AB11" i="8"/>
  <c r="AB12" i="8"/>
  <c r="AB13" i="8"/>
  <c r="AB14" i="8"/>
  <c r="AB15" i="8"/>
  <c r="AB4" i="8"/>
  <c r="Q28" i="8" l="1"/>
  <c r="R28" i="8" s="1"/>
  <c r="Q24" i="8"/>
  <c r="R24" i="8" s="1"/>
  <c r="Q16" i="8"/>
  <c r="R16" i="8" s="1"/>
  <c r="Q31" i="8"/>
  <c r="R31" i="8" s="1"/>
  <c r="Q11" i="8"/>
  <c r="R11" i="8" s="1"/>
  <c r="Q23" i="8"/>
  <c r="R23" i="8" s="1"/>
  <c r="Q34" i="8"/>
  <c r="R34" i="8" s="1"/>
  <c r="Q3" i="8"/>
  <c r="R3" i="8" s="1"/>
  <c r="Q33" i="8"/>
  <c r="R33" i="8" s="1"/>
  <c r="Q27" i="8"/>
  <c r="R27" i="8" s="1"/>
  <c r="Q13" i="8"/>
  <c r="R13" i="8" s="1"/>
  <c r="Q7" i="8"/>
  <c r="R7" i="8" s="1"/>
  <c r="Q25" i="8"/>
  <c r="R25" i="8" s="1"/>
  <c r="Q15" i="8"/>
  <c r="R15" i="8" s="1"/>
  <c r="Q20" i="8"/>
  <c r="R20" i="8" s="1"/>
  <c r="Q19" i="8"/>
  <c r="R19" i="8" s="1"/>
  <c r="Q29" i="8"/>
  <c r="R29" i="8" s="1"/>
  <c r="Q30" i="8"/>
  <c r="R30" i="8" s="1"/>
  <c r="Q9" i="8"/>
  <c r="R9" i="8" s="1"/>
  <c r="Q10" i="8"/>
  <c r="R10" i="8" s="1"/>
  <c r="Q18" i="8"/>
  <c r="R18" i="8" s="1"/>
  <c r="Q17" i="8"/>
  <c r="R17" i="8" s="1"/>
  <c r="Q22" i="8"/>
  <c r="R22" i="8" s="1"/>
  <c r="Q21" i="8"/>
  <c r="R21" i="8" s="1"/>
  <c r="Q26" i="8"/>
  <c r="R26" i="8" s="1"/>
  <c r="Q4" i="8"/>
  <c r="R4" i="8" s="1"/>
  <c r="Q32" i="8"/>
  <c r="R32" i="8" s="1"/>
  <c r="Q6" i="8"/>
  <c r="R6" i="8" s="1"/>
  <c r="Q8" i="8"/>
  <c r="R8" i="8" s="1"/>
  <c r="Q12" i="8"/>
  <c r="R12" i="8" s="1"/>
  <c r="Q14" i="8"/>
  <c r="R14" i="8" s="1"/>
  <c r="Q5" i="8"/>
  <c r="R5" i="8" s="1"/>
  <c r="Q55" i="8"/>
  <c r="R55" i="8" s="1"/>
  <c r="Q47" i="8"/>
  <c r="R47" i="8" s="1"/>
  <c r="Q39" i="8"/>
  <c r="R39" i="8" s="1"/>
  <c r="K8" i="3"/>
  <c r="K7" i="3"/>
  <c r="K6" i="3"/>
  <c r="Y2" i="11"/>
  <c r="X2" i="11"/>
  <c r="W2" i="11"/>
  <c r="V2" i="11"/>
  <c r="U2" i="11"/>
  <c r="T2" i="11"/>
  <c r="S2" i="11"/>
  <c r="R2" i="11"/>
  <c r="Q2" i="11"/>
  <c r="P2" i="11"/>
  <c r="O2" i="11"/>
  <c r="N2" i="11"/>
  <c r="M10" i="11"/>
  <c r="M11" i="11"/>
  <c r="M12" i="11"/>
  <c r="M13" i="11"/>
  <c r="M14" i="11"/>
  <c r="M15" i="11"/>
  <c r="M16" i="11"/>
  <c r="M17" i="11"/>
  <c r="M18" i="11"/>
  <c r="M9" i="11"/>
  <c r="M4" i="11"/>
  <c r="M5" i="11"/>
  <c r="M6" i="11"/>
  <c r="M7" i="11"/>
  <c r="M8" i="11"/>
  <c r="M3" i="11"/>
  <c r="E27" i="11" l="1"/>
  <c r="E26" i="11"/>
  <c r="E25" i="11"/>
  <c r="L3" i="10"/>
  <c r="L2" i="10"/>
  <c r="V3" i="10"/>
  <c r="U3" i="10"/>
  <c r="T3" i="10"/>
  <c r="S3" i="10"/>
  <c r="V2" i="10"/>
  <c r="U2" i="10"/>
  <c r="T2" i="10"/>
  <c r="S2" i="10"/>
  <c r="R3" i="10"/>
  <c r="Q3" i="10"/>
  <c r="P3" i="10"/>
  <c r="O3" i="10"/>
  <c r="N3" i="10"/>
  <c r="M3" i="10"/>
  <c r="R2" i="10"/>
  <c r="Q2" i="10"/>
  <c r="P2" i="10"/>
  <c r="O2" i="10"/>
  <c r="N2" i="10"/>
  <c r="M2" i="10"/>
  <c r="N3" i="6"/>
  <c r="N15" i="6"/>
  <c r="N11" i="6"/>
  <c r="N9" i="6"/>
  <c r="N7" i="6"/>
  <c r="N14" i="6"/>
  <c r="N21" i="6"/>
  <c r="N19" i="6"/>
  <c r="N13" i="6"/>
  <c r="N20" i="6"/>
  <c r="N16" i="6"/>
  <c r="N23" i="6"/>
  <c r="N18" i="6"/>
  <c r="N4" i="6"/>
  <c r="N22" i="6"/>
  <c r="N6" i="6"/>
  <c r="N8" i="6"/>
  <c r="N10" i="6"/>
  <c r="N5" i="6"/>
  <c r="N12" i="6"/>
  <c r="N17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2" i="6"/>
  <c r="E28" i="11" l="1"/>
  <c r="V4" i="10"/>
  <c r="U5" i="10"/>
  <c r="T5" i="10"/>
  <c r="S4" i="10"/>
  <c r="V5" i="10"/>
  <c r="U4" i="10"/>
  <c r="T4" i="10"/>
  <c r="S5" i="10"/>
  <c r="N4" i="11" l="1"/>
  <c r="R4" i="11"/>
  <c r="V4" i="11"/>
  <c r="N5" i="11"/>
  <c r="R5" i="11"/>
  <c r="V5" i="11"/>
  <c r="N6" i="11"/>
  <c r="R6" i="11"/>
  <c r="V6" i="11"/>
  <c r="N7" i="11"/>
  <c r="R7" i="11"/>
  <c r="V7" i="11"/>
  <c r="N8" i="11"/>
  <c r="R8" i="11"/>
  <c r="V8" i="11"/>
  <c r="N9" i="11"/>
  <c r="R9" i="11"/>
  <c r="V9" i="11"/>
  <c r="N10" i="11"/>
  <c r="R10" i="11"/>
  <c r="V10" i="11"/>
  <c r="N11" i="11"/>
  <c r="R11" i="11"/>
  <c r="V11" i="11"/>
  <c r="N12" i="11"/>
  <c r="R12" i="11"/>
  <c r="V12" i="11"/>
  <c r="N13" i="11"/>
  <c r="R13" i="11"/>
  <c r="V13" i="11"/>
  <c r="N14" i="11"/>
  <c r="R14" i="11"/>
  <c r="V14" i="11"/>
  <c r="N15" i="11"/>
  <c r="R15" i="11"/>
  <c r="V15" i="11"/>
  <c r="N16" i="11"/>
  <c r="R16" i="11"/>
  <c r="V16" i="11"/>
  <c r="N17" i="11"/>
  <c r="R17" i="11"/>
  <c r="V17" i="11"/>
  <c r="N18" i="11"/>
  <c r="R18" i="11"/>
  <c r="V18" i="11"/>
  <c r="Q3" i="11"/>
  <c r="U3" i="11"/>
  <c r="Y3" i="11"/>
  <c r="O4" i="11"/>
  <c r="S4" i="11"/>
  <c r="W4" i="11"/>
  <c r="O5" i="11"/>
  <c r="S5" i="11"/>
  <c r="W5" i="11"/>
  <c r="O6" i="11"/>
  <c r="S6" i="11"/>
  <c r="W6" i="11"/>
  <c r="O7" i="11"/>
  <c r="S7" i="11"/>
  <c r="W7" i="11"/>
  <c r="O8" i="11"/>
  <c r="S8" i="11"/>
  <c r="W8" i="11"/>
  <c r="O9" i="11"/>
  <c r="S9" i="11"/>
  <c r="W9" i="11"/>
  <c r="O10" i="11"/>
  <c r="S10" i="11"/>
  <c r="W10" i="11"/>
  <c r="O11" i="11"/>
  <c r="S11" i="11"/>
  <c r="W11" i="11"/>
  <c r="O12" i="11"/>
  <c r="S12" i="11"/>
  <c r="W12" i="11"/>
  <c r="O13" i="11"/>
  <c r="S13" i="11"/>
  <c r="W13" i="11"/>
  <c r="O14" i="11"/>
  <c r="S14" i="11"/>
  <c r="W14" i="11"/>
  <c r="O15" i="11"/>
  <c r="S15" i="11"/>
  <c r="W15" i="11"/>
  <c r="O16" i="11"/>
  <c r="S16" i="11"/>
  <c r="W16" i="11"/>
  <c r="O17" i="11"/>
  <c r="S17" i="11"/>
  <c r="W17" i="11"/>
  <c r="O18" i="11"/>
  <c r="S18" i="11"/>
  <c r="W18" i="11"/>
  <c r="R3" i="11"/>
  <c r="V3" i="11"/>
  <c r="N3" i="11"/>
  <c r="P4" i="11"/>
  <c r="T4" i="11"/>
  <c r="X4" i="11"/>
  <c r="P5" i="11"/>
  <c r="T5" i="11"/>
  <c r="X5" i="11"/>
  <c r="P6" i="11"/>
  <c r="T6" i="11"/>
  <c r="X6" i="11"/>
  <c r="P7" i="11"/>
  <c r="T7" i="11"/>
  <c r="X7" i="11"/>
  <c r="P8" i="11"/>
  <c r="T8" i="11"/>
  <c r="X8" i="11"/>
  <c r="P9" i="11"/>
  <c r="T9" i="11"/>
  <c r="X9" i="11"/>
  <c r="P10" i="11"/>
  <c r="T10" i="11"/>
  <c r="X10" i="11"/>
  <c r="P11" i="11"/>
  <c r="T11" i="11"/>
  <c r="X11" i="11"/>
  <c r="P12" i="11"/>
  <c r="T12" i="11"/>
  <c r="X12" i="11"/>
  <c r="P13" i="11"/>
  <c r="T13" i="11"/>
  <c r="X13" i="11"/>
  <c r="P14" i="11"/>
  <c r="T14" i="11"/>
  <c r="X14" i="11"/>
  <c r="P15" i="11"/>
  <c r="T15" i="11"/>
  <c r="X15" i="11"/>
  <c r="P16" i="11"/>
  <c r="T16" i="11"/>
  <c r="X16" i="11"/>
  <c r="P17" i="11"/>
  <c r="T17" i="11"/>
  <c r="X17" i="11"/>
  <c r="P18" i="11"/>
  <c r="T18" i="11"/>
  <c r="X18" i="11"/>
  <c r="O3" i="11"/>
  <c r="S3" i="11"/>
  <c r="W3" i="11"/>
  <c r="Q4" i="11"/>
  <c r="U4" i="11"/>
  <c r="Y4" i="11"/>
  <c r="Q5" i="11"/>
  <c r="U5" i="11"/>
  <c r="Y5" i="11"/>
  <c r="Q6" i="11"/>
  <c r="U6" i="11"/>
  <c r="Y6" i="11"/>
  <c r="Q7" i="11"/>
  <c r="U7" i="11"/>
  <c r="Y7" i="11"/>
  <c r="Q8" i="11"/>
  <c r="U8" i="11"/>
  <c r="Y8" i="11"/>
  <c r="Q9" i="11"/>
  <c r="U9" i="11"/>
  <c r="Y9" i="11"/>
  <c r="Q10" i="11"/>
  <c r="U10" i="11"/>
  <c r="Y10" i="11"/>
  <c r="Q11" i="11"/>
  <c r="U11" i="11"/>
  <c r="Y11" i="11"/>
  <c r="Q12" i="11"/>
  <c r="U12" i="11"/>
  <c r="Y12" i="11"/>
  <c r="Q13" i="11"/>
  <c r="U13" i="11"/>
  <c r="Y13" i="11"/>
  <c r="Q14" i="11"/>
  <c r="U14" i="11"/>
  <c r="Y14" i="11"/>
  <c r="Q15" i="11"/>
  <c r="U15" i="11"/>
  <c r="Y15" i="11"/>
  <c r="Q16" i="11"/>
  <c r="U16" i="11"/>
  <c r="Y16" i="11"/>
  <c r="Q17" i="11"/>
  <c r="U17" i="11"/>
  <c r="Y17" i="11"/>
  <c r="Q18" i="11"/>
  <c r="U18" i="11"/>
  <c r="Y18" i="11"/>
  <c r="P3" i="11"/>
  <c r="T3" i="11"/>
  <c r="X3" i="11"/>
  <c r="Q18" i="4"/>
  <c r="W19" i="11" l="1"/>
  <c r="X19" i="11"/>
  <c r="S19" i="11"/>
  <c r="T19" i="11"/>
  <c r="V19" i="11"/>
  <c r="Z15" i="11"/>
  <c r="Z7" i="11"/>
  <c r="O19" i="11"/>
  <c r="R19" i="11"/>
  <c r="Z14" i="11"/>
  <c r="Z10" i="11"/>
  <c r="Z18" i="11"/>
  <c r="Z17" i="11"/>
  <c r="Z13" i="11"/>
  <c r="Z9" i="11"/>
  <c r="Q19" i="11"/>
  <c r="Z3" i="11"/>
  <c r="N19" i="11"/>
  <c r="Z5" i="11"/>
  <c r="Y19" i="11"/>
  <c r="P19" i="11"/>
  <c r="Z6" i="11"/>
  <c r="U19" i="11"/>
  <c r="Z11" i="11"/>
  <c r="Z16" i="11"/>
  <c r="Z8" i="11"/>
  <c r="Z12" i="11"/>
  <c r="Z4" i="11"/>
  <c r="J102" i="4"/>
  <c r="G102" i="4"/>
  <c r="Z19" i="11" l="1"/>
  <c r="L5" i="10"/>
  <c r="P5" i="10" l="1"/>
  <c r="Q4" i="10"/>
  <c r="L4" i="10"/>
  <c r="M5" i="10"/>
  <c r="N5" i="10"/>
  <c r="O5" i="10" l="1"/>
  <c r="Q5" i="10"/>
  <c r="R5" i="10"/>
  <c r="O4" i="10"/>
  <c r="R4" i="10"/>
  <c r="P4" i="10"/>
  <c r="N4" i="10"/>
  <c r="M4" i="10"/>
  <c r="U10" i="6"/>
  <c r="E1" i="11" l="1"/>
  <c r="C1" i="11"/>
  <c r="D5" i="1" l="1"/>
  <c r="D6" i="1"/>
  <c r="D8" i="1" l="1"/>
  <c r="M2" i="9"/>
  <c r="Q22" i="9" s="1"/>
  <c r="P2" i="6"/>
  <c r="N6" i="9" l="1"/>
  <c r="K8" i="1" s="1"/>
  <c r="N13" i="9"/>
  <c r="N18" i="9"/>
  <c r="N16" i="9"/>
  <c r="N21" i="9"/>
  <c r="Q11" i="9"/>
  <c r="N5" i="9"/>
  <c r="G8" i="1" s="1"/>
  <c r="Q15" i="9"/>
  <c r="N7" i="9"/>
  <c r="O8" i="1" s="1"/>
  <c r="P21" i="6"/>
  <c r="P13" i="6"/>
  <c r="P11" i="6"/>
  <c r="P15" i="6"/>
  <c r="P22" i="6"/>
  <c r="P20" i="6"/>
  <c r="P12" i="6"/>
  <c r="P19" i="6"/>
  <c r="P18" i="6"/>
  <c r="P17" i="6"/>
  <c r="P16" i="6"/>
  <c r="P14" i="6"/>
  <c r="N11" i="9"/>
  <c r="N17" i="9"/>
  <c r="Q5" i="9"/>
  <c r="H8" i="1" s="1"/>
  <c r="Q20" i="9"/>
  <c r="N14" i="9"/>
  <c r="N20" i="9"/>
  <c r="Q12" i="9"/>
  <c r="N8" i="9"/>
  <c r="S8" i="1" s="1"/>
  <c r="N19" i="9"/>
  <c r="Q16" i="9"/>
  <c r="Q19" i="9"/>
  <c r="N15" i="9"/>
  <c r="Q6" i="9"/>
  <c r="L8" i="1" s="1"/>
  <c r="N22" i="9"/>
  <c r="Q7" i="9"/>
  <c r="P8" i="1" s="1"/>
  <c r="Q13" i="9"/>
  <c r="Q17" i="9"/>
  <c r="Q21" i="9"/>
  <c r="N12" i="9"/>
  <c r="Q8" i="9"/>
  <c r="T8" i="1" s="1"/>
  <c r="Q14" i="9"/>
  <c r="Q18" i="9"/>
  <c r="D7" i="1"/>
  <c r="F101" i="3"/>
  <c r="T12" i="6" l="1"/>
  <c r="Q12" i="6"/>
  <c r="Q18" i="6"/>
  <c r="T18" i="6"/>
  <c r="T13" i="6"/>
  <c r="Q13" i="6"/>
  <c r="Q11" i="6"/>
  <c r="T5" i="6"/>
  <c r="Q5" i="6"/>
  <c r="T11" i="6"/>
  <c r="T16" i="6"/>
  <c r="Q16" i="6"/>
  <c r="Q21" i="6"/>
  <c r="T21" i="6"/>
  <c r="T7" i="6"/>
  <c r="Q7" i="6"/>
  <c r="T17" i="6"/>
  <c r="Q17" i="6"/>
  <c r="Q19" i="6"/>
  <c r="T19" i="6"/>
  <c r="Q8" i="6"/>
  <c r="T20" i="6"/>
  <c r="T8" i="6"/>
  <c r="Q20" i="6"/>
  <c r="Q22" i="6"/>
  <c r="T22" i="6"/>
  <c r="Q15" i="6"/>
  <c r="T15" i="6"/>
  <c r="Q6" i="6"/>
  <c r="T14" i="6"/>
  <c r="T6" i="6"/>
  <c r="Q14" i="6"/>
  <c r="M8" i="1"/>
  <c r="I8" i="1"/>
  <c r="Q8" i="1"/>
  <c r="N23" i="9"/>
  <c r="N9" i="9"/>
  <c r="E8" i="1" s="1"/>
  <c r="Q23" i="9"/>
  <c r="U8" i="1"/>
  <c r="Q9" i="9"/>
  <c r="F8" i="1" s="1"/>
  <c r="U8" i="6" l="1"/>
  <c r="U7" i="6"/>
  <c r="U6" i="6"/>
  <c r="K2" i="1"/>
  <c r="U5" i="6"/>
  <c r="V8" i="1"/>
  <c r="U13" i="6"/>
  <c r="U17" i="6"/>
  <c r="U18" i="6"/>
  <c r="U14" i="6"/>
  <c r="U12" i="6"/>
  <c r="U16" i="6"/>
  <c r="U22" i="6"/>
  <c r="U20" i="6"/>
  <c r="U19" i="6"/>
  <c r="U21" i="6"/>
  <c r="U11" i="6"/>
  <c r="U15" i="6"/>
  <c r="T2" i="8" l="1"/>
  <c r="V2" i="4"/>
  <c r="H2" i="3"/>
  <c r="D101" i="3"/>
  <c r="V17" i="4" l="1"/>
  <c r="L34" i="1" s="1"/>
  <c r="V11" i="4"/>
  <c r="V16" i="4"/>
  <c r="V19" i="4"/>
  <c r="V15" i="4"/>
  <c r="V18" i="4"/>
  <c r="V22" i="4"/>
  <c r="V14" i="4"/>
  <c r="I34" i="1" s="1"/>
  <c r="V21" i="4"/>
  <c r="V13" i="4"/>
  <c r="V20" i="4"/>
  <c r="O34" i="1" s="1"/>
  <c r="V12" i="4"/>
  <c r="Z21" i="11"/>
  <c r="Y15" i="8"/>
  <c r="Y11" i="8"/>
  <c r="Y7" i="8"/>
  <c r="Y9" i="8"/>
  <c r="Y12" i="8"/>
  <c r="Y14" i="8"/>
  <c r="Y10" i="8"/>
  <c r="Y6" i="8"/>
  <c r="Y13" i="8"/>
  <c r="Y5" i="8"/>
  <c r="Y8" i="8"/>
  <c r="Y4" i="8"/>
  <c r="T22" i="8"/>
  <c r="T18" i="8"/>
  <c r="T14" i="8"/>
  <c r="T21" i="8"/>
  <c r="T17" i="8"/>
  <c r="T13" i="8"/>
  <c r="T20" i="8"/>
  <c r="T16" i="8"/>
  <c r="T12" i="8"/>
  <c r="T19" i="8"/>
  <c r="T15" i="8"/>
  <c r="T11" i="8"/>
  <c r="H21" i="3"/>
  <c r="K21" i="3" s="1"/>
  <c r="H17" i="3"/>
  <c r="K17" i="3" s="1"/>
  <c r="H13" i="3"/>
  <c r="K13" i="3" s="1"/>
  <c r="H11" i="3"/>
  <c r="H22" i="3"/>
  <c r="K22" i="3" s="1"/>
  <c r="H18" i="3"/>
  <c r="K18" i="3" s="1"/>
  <c r="H20" i="3"/>
  <c r="K20" i="3" s="1"/>
  <c r="H16" i="3"/>
  <c r="K16" i="3" s="1"/>
  <c r="H12" i="3"/>
  <c r="K12" i="3" s="1"/>
  <c r="H19" i="3"/>
  <c r="K19" i="3" s="1"/>
  <c r="H15" i="3"/>
  <c r="K15" i="3" s="1"/>
  <c r="H14" i="3"/>
  <c r="K14" i="3" s="1"/>
  <c r="P7" i="1"/>
  <c r="T7" i="1"/>
  <c r="L7" i="1"/>
  <c r="G2" i="1"/>
  <c r="O2" i="1"/>
  <c r="S2" i="1"/>
  <c r="F35" i="1" l="1"/>
  <c r="F34" i="1"/>
  <c r="F28" i="1"/>
  <c r="J28" i="1"/>
  <c r="J35" i="1"/>
  <c r="J31" i="1" s="1"/>
  <c r="J34" i="1"/>
  <c r="J29" i="1" s="1"/>
  <c r="J30" i="1"/>
  <c r="G28" i="1"/>
  <c r="G35" i="1"/>
  <c r="G34" i="1"/>
  <c r="G29" i="1" s="1"/>
  <c r="G30" i="1"/>
  <c r="P35" i="1"/>
  <c r="P31" i="1" s="1"/>
  <c r="P34" i="1"/>
  <c r="P29" i="1" s="1"/>
  <c r="P28" i="1"/>
  <c r="P30" i="1"/>
  <c r="M28" i="1"/>
  <c r="M35" i="1"/>
  <c r="M31" i="1" s="1"/>
  <c r="M34" i="1"/>
  <c r="M29" i="1" s="1"/>
  <c r="M30" i="1"/>
  <c r="O35" i="1"/>
  <c r="Q35" i="1" s="1"/>
  <c r="O28" i="1"/>
  <c r="O30" i="1"/>
  <c r="I35" i="1"/>
  <c r="I28" i="1"/>
  <c r="K34" i="1"/>
  <c r="I30" i="1"/>
  <c r="F31" i="1"/>
  <c r="F30" i="1"/>
  <c r="L35" i="1"/>
  <c r="L28" i="1"/>
  <c r="L29" i="1"/>
  <c r="L30" i="1"/>
  <c r="U12" i="8"/>
  <c r="X12" i="8"/>
  <c r="X21" i="8"/>
  <c r="U21" i="8"/>
  <c r="U22" i="8"/>
  <c r="X22" i="8"/>
  <c r="X19" i="8"/>
  <c r="U19" i="8"/>
  <c r="X7" i="8"/>
  <c r="U7" i="8"/>
  <c r="X17" i="8"/>
  <c r="U17" i="8"/>
  <c r="X20" i="8"/>
  <c r="X8" i="8"/>
  <c r="U20" i="8"/>
  <c r="U8" i="8"/>
  <c r="X15" i="8"/>
  <c r="U15" i="8"/>
  <c r="U16" i="8"/>
  <c r="X16" i="8"/>
  <c r="X5" i="8"/>
  <c r="U5" i="8"/>
  <c r="X11" i="8"/>
  <c r="U11" i="8"/>
  <c r="X6" i="8"/>
  <c r="U6" i="8"/>
  <c r="K3" i="1" s="1"/>
  <c r="X14" i="8"/>
  <c r="U14" i="8"/>
  <c r="X13" i="8"/>
  <c r="U13" i="8"/>
  <c r="X18" i="8"/>
  <c r="U18" i="8"/>
  <c r="Z13" i="4"/>
  <c r="W13" i="4"/>
  <c r="Z22" i="4"/>
  <c r="W22" i="4"/>
  <c r="Z18" i="4"/>
  <c r="W18" i="4"/>
  <c r="W12" i="4"/>
  <c r="Z12" i="4"/>
  <c r="Z15" i="4"/>
  <c r="W15" i="4"/>
  <c r="Z19" i="4"/>
  <c r="W19" i="4"/>
  <c r="Z20" i="4"/>
  <c r="Z8" i="4"/>
  <c r="W20" i="4"/>
  <c r="W8" i="4"/>
  <c r="S6" i="1" s="1"/>
  <c r="Z6" i="4"/>
  <c r="W6" i="4"/>
  <c r="K6" i="1" s="1"/>
  <c r="W14" i="4"/>
  <c r="Z14" i="4"/>
  <c r="Z11" i="4"/>
  <c r="W11" i="4"/>
  <c r="Z5" i="4"/>
  <c r="W5" i="4"/>
  <c r="G6" i="1" s="1"/>
  <c r="Z21" i="4"/>
  <c r="W21" i="4"/>
  <c r="Z16" i="4"/>
  <c r="W16" i="4"/>
  <c r="Z7" i="4"/>
  <c r="W7" i="4"/>
  <c r="O6" i="1" s="1"/>
  <c r="Z17" i="4"/>
  <c r="W17" i="4"/>
  <c r="K5" i="3"/>
  <c r="H7" i="1" s="1"/>
  <c r="K11" i="3"/>
  <c r="K23" i="3" s="1"/>
  <c r="I6" i="3"/>
  <c r="I14" i="3"/>
  <c r="I16" i="3"/>
  <c r="I5" i="3"/>
  <c r="G7" i="1" s="1"/>
  <c r="I11" i="3"/>
  <c r="I15" i="3"/>
  <c r="I20" i="3"/>
  <c r="I8" i="3"/>
  <c r="I13" i="3"/>
  <c r="I19" i="3"/>
  <c r="I18" i="3"/>
  <c r="I17" i="3"/>
  <c r="I7" i="3"/>
  <c r="I12" i="3"/>
  <c r="I22" i="3"/>
  <c r="I21" i="3"/>
  <c r="N35" i="1" l="1"/>
  <c r="N29" i="1"/>
  <c r="Q34" i="1"/>
  <c r="K30" i="1"/>
  <c r="H34" i="1"/>
  <c r="F29" i="1"/>
  <c r="K35" i="1"/>
  <c r="D28" i="1"/>
  <c r="Q30" i="1"/>
  <c r="N30" i="1"/>
  <c r="M32" i="1"/>
  <c r="P32" i="1"/>
  <c r="E30" i="1"/>
  <c r="E29" i="1"/>
  <c r="E34" i="1"/>
  <c r="G31" i="1"/>
  <c r="E31" i="1" s="1"/>
  <c r="E35" i="1"/>
  <c r="E28" i="1"/>
  <c r="J32" i="1"/>
  <c r="L31" i="1"/>
  <c r="N31" i="1" s="1"/>
  <c r="O29" i="1"/>
  <c r="Q29" i="1" s="1"/>
  <c r="O31" i="1"/>
  <c r="Q31" i="1" s="1"/>
  <c r="I29" i="1"/>
  <c r="K29" i="1" s="1"/>
  <c r="I31" i="1"/>
  <c r="H30" i="1"/>
  <c r="D30" i="1"/>
  <c r="K28" i="1"/>
  <c r="H28" i="1"/>
  <c r="N28" i="1"/>
  <c r="H35" i="1"/>
  <c r="D35" i="1"/>
  <c r="Q28" i="1"/>
  <c r="D34" i="1"/>
  <c r="N34" i="1"/>
  <c r="O7" i="1"/>
  <c r="Q7" i="1" s="1"/>
  <c r="S7" i="1"/>
  <c r="U7" i="1" s="1"/>
  <c r="K7" i="1"/>
  <c r="M7" i="1" s="1"/>
  <c r="I23" i="3"/>
  <c r="I7" i="1"/>
  <c r="K9" i="3"/>
  <c r="F7" i="1" s="1"/>
  <c r="I9" i="3"/>
  <c r="E7" i="1" s="1"/>
  <c r="Z20" i="11" s="1"/>
  <c r="Z22" i="11" s="1"/>
  <c r="H29" i="1" l="1"/>
  <c r="D29" i="1"/>
  <c r="H31" i="1"/>
  <c r="H32" i="1" s="1"/>
  <c r="G32" i="1"/>
  <c r="E32" i="1"/>
  <c r="D31" i="1"/>
  <c r="L32" i="1"/>
  <c r="Q32" i="1"/>
  <c r="O32" i="1"/>
  <c r="N32" i="1"/>
  <c r="K31" i="1"/>
  <c r="K32" i="1" s="1"/>
  <c r="I32" i="1"/>
  <c r="F32" i="1"/>
  <c r="V7" i="1"/>
  <c r="D10" i="11"/>
  <c r="D11" i="11"/>
  <c r="D12" i="11"/>
  <c r="D13" i="11"/>
  <c r="D14" i="11"/>
  <c r="D9" i="11"/>
  <c r="C10" i="11"/>
  <c r="C11" i="11"/>
  <c r="C12" i="11"/>
  <c r="C13" i="11"/>
  <c r="C14" i="11"/>
  <c r="C9" i="11"/>
  <c r="D4" i="11"/>
  <c r="D5" i="11"/>
  <c r="D6" i="11"/>
  <c r="D7" i="11"/>
  <c r="D8" i="11"/>
  <c r="D3" i="11"/>
  <c r="C4" i="11"/>
  <c r="C5" i="11"/>
  <c r="C6" i="11"/>
  <c r="C7" i="11"/>
  <c r="C8" i="11"/>
  <c r="C3" i="11"/>
  <c r="C20" i="11"/>
  <c r="C23" i="11"/>
  <c r="C21" i="11"/>
  <c r="C24" i="11"/>
  <c r="D32" i="1" l="1"/>
  <c r="C27" i="11"/>
  <c r="C26" i="11"/>
  <c r="D26" i="11"/>
  <c r="D27" i="11"/>
  <c r="D18" i="11"/>
  <c r="D19" i="11"/>
  <c r="D20" i="11"/>
  <c r="D21" i="11"/>
  <c r="D22" i="11"/>
  <c r="D23" i="11"/>
  <c r="D24" i="11"/>
  <c r="D17" i="11"/>
  <c r="C17" i="11"/>
  <c r="C18" i="11"/>
  <c r="C19" i="11"/>
  <c r="C22" i="11"/>
  <c r="N24" i="1"/>
  <c r="F5" i="1" s="1"/>
  <c r="L24" i="1"/>
  <c r="F4" i="1"/>
  <c r="D3" i="1"/>
  <c r="D2" i="1"/>
  <c r="E5" i="1" l="1"/>
  <c r="N25" i="1"/>
  <c r="D9" i="1"/>
  <c r="G25" i="1"/>
  <c r="D25" i="11"/>
  <c r="D28" i="11" s="1"/>
  <c r="C25" i="11"/>
  <c r="C28" i="11" s="1"/>
  <c r="AD6" i="4" l="1"/>
  <c r="AC6" i="4" s="1"/>
  <c r="AB6" i="4" s="1"/>
  <c r="AD11" i="4"/>
  <c r="AD16" i="4"/>
  <c r="Q30" i="4" l="1"/>
  <c r="P30" i="4" s="1"/>
  <c r="O30" i="4" s="1"/>
  <c r="Q2" i="4"/>
  <c r="Q35" i="4"/>
  <c r="P35" i="4" s="1"/>
  <c r="O35" i="4" s="1"/>
  <c r="Q15" i="4"/>
  <c r="P15" i="4" s="1"/>
  <c r="O15" i="4" s="1"/>
  <c r="Q34" i="4"/>
  <c r="P34" i="4" s="1"/>
  <c r="O34" i="4" s="1"/>
  <c r="Q25" i="4"/>
  <c r="P25" i="4" s="1"/>
  <c r="O25" i="4" s="1"/>
  <c r="Q29" i="4"/>
  <c r="Q6" i="4"/>
  <c r="Q9" i="4"/>
  <c r="P9" i="4" s="1"/>
  <c r="O9" i="4" s="1"/>
  <c r="Q19" i="4"/>
  <c r="P19" i="4" s="1"/>
  <c r="O19" i="4" s="1"/>
  <c r="Q41" i="4"/>
  <c r="P41" i="4" s="1"/>
  <c r="O41" i="4" s="1"/>
  <c r="Q7" i="4"/>
  <c r="P7" i="4" s="1"/>
  <c r="O7" i="4" s="1"/>
  <c r="Q52" i="4"/>
  <c r="P52" i="4" s="1"/>
  <c r="O52" i="4" s="1"/>
  <c r="Q53" i="4"/>
  <c r="P53" i="4" s="1"/>
  <c r="O53" i="4" s="1"/>
  <c r="Q54" i="4"/>
  <c r="P54" i="4" s="1"/>
  <c r="O54" i="4" s="1"/>
  <c r="Q55" i="4"/>
  <c r="P55" i="4" s="1"/>
  <c r="O55" i="4" s="1"/>
  <c r="Q56" i="4"/>
  <c r="P56" i="4" s="1"/>
  <c r="O56" i="4" s="1"/>
  <c r="Q57" i="4"/>
  <c r="P57" i="4" s="1"/>
  <c r="O57" i="4" s="1"/>
  <c r="Q58" i="4"/>
  <c r="P58" i="4" s="1"/>
  <c r="O58" i="4" s="1"/>
  <c r="Q59" i="4"/>
  <c r="Q60" i="4"/>
  <c r="P60" i="4" s="1"/>
  <c r="O60" i="4" s="1"/>
  <c r="Q61" i="4"/>
  <c r="P61" i="4" s="1"/>
  <c r="O61" i="4" s="1"/>
  <c r="Q62" i="4"/>
  <c r="P62" i="4" s="1"/>
  <c r="O62" i="4" s="1"/>
  <c r="Q63" i="4"/>
  <c r="P63" i="4" s="1"/>
  <c r="O63" i="4" s="1"/>
  <c r="Q64" i="4"/>
  <c r="P64" i="4" s="1"/>
  <c r="O64" i="4" s="1"/>
  <c r="Q65" i="4"/>
  <c r="P65" i="4" s="1"/>
  <c r="O65" i="4" s="1"/>
  <c r="Q66" i="4"/>
  <c r="P66" i="4" s="1"/>
  <c r="O66" i="4" s="1"/>
  <c r="Q67" i="4"/>
  <c r="Q68" i="4"/>
  <c r="P68" i="4" s="1"/>
  <c r="O68" i="4" s="1"/>
  <c r="Q69" i="4"/>
  <c r="P69" i="4" s="1"/>
  <c r="O69" i="4" s="1"/>
  <c r="Q70" i="4"/>
  <c r="P70" i="4" s="1"/>
  <c r="O70" i="4" s="1"/>
  <c r="Q71" i="4"/>
  <c r="P71" i="4" s="1"/>
  <c r="O71" i="4" s="1"/>
  <c r="Q72" i="4"/>
  <c r="P72" i="4" s="1"/>
  <c r="O72" i="4" s="1"/>
  <c r="Q73" i="4"/>
  <c r="P73" i="4" s="1"/>
  <c r="O73" i="4" s="1"/>
  <c r="Q74" i="4"/>
  <c r="P74" i="4" s="1"/>
  <c r="O74" i="4" s="1"/>
  <c r="Q75" i="4"/>
  <c r="P75" i="4" s="1"/>
  <c r="O75" i="4" s="1"/>
  <c r="Q76" i="4"/>
  <c r="P76" i="4" s="1"/>
  <c r="O76" i="4" s="1"/>
  <c r="Q77" i="4"/>
  <c r="P77" i="4" s="1"/>
  <c r="O77" i="4" s="1"/>
  <c r="Q78" i="4"/>
  <c r="P78" i="4" s="1"/>
  <c r="O78" i="4" s="1"/>
  <c r="Q79" i="4"/>
  <c r="Q80" i="4"/>
  <c r="P80" i="4" s="1"/>
  <c r="O80" i="4" s="1"/>
  <c r="Q81" i="4"/>
  <c r="P81" i="4" s="1"/>
  <c r="O81" i="4" s="1"/>
  <c r="Q82" i="4"/>
  <c r="Q83" i="4"/>
  <c r="Q84" i="4"/>
  <c r="P84" i="4" s="1"/>
  <c r="O84" i="4" s="1"/>
  <c r="Q85" i="4"/>
  <c r="P85" i="4" s="1"/>
  <c r="O85" i="4" s="1"/>
  <c r="Q86" i="4"/>
  <c r="Q87" i="4"/>
  <c r="Q88" i="4"/>
  <c r="P88" i="4" s="1"/>
  <c r="O88" i="4" s="1"/>
  <c r="Q89" i="4"/>
  <c r="P89" i="4" s="1"/>
  <c r="O89" i="4" s="1"/>
  <c r="Q90" i="4"/>
  <c r="P90" i="4" s="1"/>
  <c r="O90" i="4" s="1"/>
  <c r="Q91" i="4"/>
  <c r="P91" i="4" s="1"/>
  <c r="O91" i="4" s="1"/>
  <c r="Q92" i="4"/>
  <c r="P92" i="4" s="1"/>
  <c r="O92" i="4" s="1"/>
  <c r="Q93" i="4"/>
  <c r="P93" i="4" s="1"/>
  <c r="O93" i="4" s="1"/>
  <c r="Q94" i="4"/>
  <c r="P94" i="4" s="1"/>
  <c r="O94" i="4" s="1"/>
  <c r="Q95" i="4"/>
  <c r="Q96" i="4"/>
  <c r="P96" i="4" s="1"/>
  <c r="O96" i="4" s="1"/>
  <c r="Q97" i="4"/>
  <c r="P97" i="4" s="1"/>
  <c r="O97" i="4" s="1"/>
  <c r="Q98" i="4"/>
  <c r="P98" i="4" s="1"/>
  <c r="O98" i="4" s="1"/>
  <c r="Q99" i="4"/>
  <c r="P99" i="4" s="1"/>
  <c r="O99" i="4" s="1"/>
  <c r="Q100" i="4"/>
  <c r="P100" i="4" s="1"/>
  <c r="O100" i="4" s="1"/>
  <c r="Q40" i="4"/>
  <c r="P2" i="4" l="1"/>
  <c r="O2" i="4" s="1"/>
  <c r="N2" i="4" s="1"/>
  <c r="P86" i="4"/>
  <c r="O86" i="4" s="1"/>
  <c r="P29" i="4"/>
  <c r="O29" i="4" s="1"/>
  <c r="P82" i="4"/>
  <c r="O82" i="4" s="1"/>
  <c r="P95" i="4"/>
  <c r="O95" i="4" s="1"/>
  <c r="P87" i="4"/>
  <c r="O87" i="4" s="1"/>
  <c r="P83" i="4"/>
  <c r="O83" i="4" s="1"/>
  <c r="P79" i="4"/>
  <c r="O79" i="4" s="1"/>
  <c r="P67" i="4"/>
  <c r="O67" i="4" s="1"/>
  <c r="P59" i="4"/>
  <c r="O59" i="4" s="1"/>
  <c r="P6" i="4"/>
  <c r="O6" i="4" s="1"/>
  <c r="P40" i="4"/>
  <c r="O40" i="4" s="1"/>
  <c r="C15" i="7" l="1"/>
  <c r="N2" i="7" l="1"/>
  <c r="G15" i="7"/>
  <c r="K2" i="7"/>
  <c r="L2" i="7"/>
  <c r="M2" i="7"/>
  <c r="J2" i="7"/>
  <c r="F15" i="7"/>
  <c r="E15" i="7"/>
  <c r="D15" i="7"/>
  <c r="E24" i="7"/>
  <c r="E23" i="7"/>
  <c r="F27" i="7" s="1"/>
  <c r="D27" i="7" l="1"/>
  <c r="G17" i="7" s="1"/>
  <c r="D17" i="7" l="1"/>
  <c r="C17" i="7"/>
  <c r="F17" i="7"/>
  <c r="E17" i="7"/>
  <c r="Q50" i="4" l="1"/>
  <c r="P50" i="4" s="1"/>
  <c r="O50" i="4" s="1"/>
  <c r="Q44" i="4"/>
  <c r="P44" i="4" s="1"/>
  <c r="O44" i="4" s="1"/>
  <c r="Q42" i="4"/>
  <c r="P42" i="4" s="1"/>
  <c r="O42" i="4" s="1"/>
  <c r="Q16" i="4"/>
  <c r="P16" i="4" s="1"/>
  <c r="O16" i="4" s="1"/>
  <c r="Q31" i="4"/>
  <c r="P31" i="4" s="1"/>
  <c r="O31" i="4" s="1"/>
  <c r="Q26" i="4"/>
  <c r="P26" i="4" s="1"/>
  <c r="O26" i="4" s="1"/>
  <c r="Q21" i="4"/>
  <c r="P21" i="4" s="1"/>
  <c r="O21" i="4" s="1"/>
  <c r="Q49" i="4"/>
  <c r="P49" i="4" s="1"/>
  <c r="Q43" i="4"/>
  <c r="P43" i="4" s="1"/>
  <c r="O43" i="4" s="1"/>
  <c r="Q27" i="4"/>
  <c r="P27" i="4" s="1"/>
  <c r="Q33" i="4"/>
  <c r="P33" i="4" s="1"/>
  <c r="Q28" i="4"/>
  <c r="P28" i="4" s="1"/>
  <c r="Q38" i="4"/>
  <c r="P38" i="4" s="1"/>
  <c r="Q17" i="4"/>
  <c r="P18" i="4"/>
  <c r="O18" i="4" s="1"/>
  <c r="Q51" i="4"/>
  <c r="P51" i="4" s="1"/>
  <c r="O51" i="4" s="1"/>
  <c r="Q45" i="4"/>
  <c r="P45" i="4" s="1"/>
  <c r="Q8" i="4"/>
  <c r="P8" i="4" s="1"/>
  <c r="Q11" i="4"/>
  <c r="P11" i="4" s="1"/>
  <c r="O11" i="4" s="1"/>
  <c r="Q46" i="4"/>
  <c r="P46" i="4" s="1"/>
  <c r="O46" i="4" s="1"/>
  <c r="Q32" i="4"/>
  <c r="P32" i="4" s="1"/>
  <c r="Q47" i="4"/>
  <c r="P47" i="4" s="1"/>
  <c r="Q22" i="4"/>
  <c r="P22" i="4" s="1"/>
  <c r="O22" i="4" s="1"/>
  <c r="Q4" i="4"/>
  <c r="Q48" i="4"/>
  <c r="P48" i="4" s="1"/>
  <c r="O48" i="4" s="1"/>
  <c r="Q13" i="4"/>
  <c r="P13" i="4" s="1"/>
  <c r="O13" i="4" s="1"/>
  <c r="O5" i="4"/>
  <c r="Q23" i="4"/>
  <c r="P23" i="4" s="1"/>
  <c r="O23" i="4" s="1"/>
  <c r="Q10" i="4"/>
  <c r="P10" i="4" s="1"/>
  <c r="O10" i="4" s="1"/>
  <c r="Q3" i="4"/>
  <c r="Q24" i="4"/>
  <c r="P24" i="4" s="1"/>
  <c r="O24" i="4" s="1"/>
  <c r="Q12" i="4"/>
  <c r="P12" i="4" s="1"/>
  <c r="O12" i="4" s="1"/>
  <c r="Q39" i="4"/>
  <c r="Q36" i="4"/>
  <c r="Q14" i="4"/>
  <c r="Q37" i="4"/>
  <c r="Q20" i="4"/>
  <c r="P17" i="4" l="1"/>
  <c r="N17" i="4"/>
  <c r="P3" i="4"/>
  <c r="O3" i="4" s="1"/>
  <c r="N3" i="4"/>
  <c r="P4" i="4"/>
  <c r="O4" i="4" s="1"/>
  <c r="N4" i="4"/>
  <c r="P36" i="4"/>
  <c r="O36" i="4" s="1"/>
  <c r="P39" i="4"/>
  <c r="O39" i="4" s="1"/>
  <c r="P37" i="4"/>
  <c r="O37" i="4" s="1"/>
  <c r="P14" i="4"/>
  <c r="O14" i="4" s="1"/>
  <c r="P20" i="4"/>
  <c r="O20" i="4" s="1"/>
  <c r="O38" i="4"/>
  <c r="O8" i="4"/>
  <c r="O28" i="4"/>
  <c r="O33" i="4"/>
  <c r="O27" i="4"/>
  <c r="O17" i="4"/>
  <c r="O45" i="4"/>
  <c r="O47" i="4"/>
  <c r="O32" i="4"/>
  <c r="O49" i="4"/>
  <c r="N14" i="4" l="1"/>
  <c r="AD22" i="4"/>
  <c r="AB19" i="4"/>
  <c r="S3" i="1" l="1"/>
  <c r="S9" i="1" s="1"/>
  <c r="T3" i="1"/>
  <c r="G3" i="1"/>
  <c r="G9" i="1" s="1"/>
  <c r="H3" i="1"/>
  <c r="P3" i="1"/>
  <c r="L3" i="1"/>
  <c r="O3" i="1"/>
  <c r="O9" i="1" s="1"/>
  <c r="K9" i="1"/>
  <c r="L2" i="1"/>
  <c r="T2" i="1"/>
  <c r="P2" i="1"/>
  <c r="H2" i="1"/>
  <c r="AC19" i="4"/>
  <c r="AD19" i="4" s="1"/>
  <c r="T6" i="1"/>
  <c r="U6" i="1" s="1"/>
  <c r="P6" i="1"/>
  <c r="Q6" i="1" s="1"/>
  <c r="L6" i="1"/>
  <c r="M6" i="1" s="1"/>
  <c r="H6" i="1"/>
  <c r="H9" i="1" l="1"/>
  <c r="M2" i="1"/>
  <c r="L9" i="1"/>
  <c r="I2" i="1"/>
  <c r="Q2" i="1"/>
  <c r="P9" i="1"/>
  <c r="T9" i="1"/>
  <c r="I3" i="1"/>
  <c r="M3" i="1"/>
  <c r="U3" i="1"/>
  <c r="Q3" i="1"/>
  <c r="I6" i="1"/>
  <c r="V6" i="1" s="1"/>
  <c r="U2" i="1"/>
  <c r="X9" i="8"/>
  <c r="X23" i="8"/>
  <c r="T9" i="6"/>
  <c r="T23" i="6"/>
  <c r="U23" i="8"/>
  <c r="Q9" i="6"/>
  <c r="U9" i="8"/>
  <c r="Q23" i="6"/>
  <c r="Z9" i="4"/>
  <c r="Z23" i="4"/>
  <c r="F6" i="1" s="1"/>
  <c r="W23" i="4"/>
  <c r="W9" i="4"/>
  <c r="Q9" i="1" l="1"/>
  <c r="I9" i="1"/>
  <c r="V2" i="1"/>
  <c r="U9" i="1"/>
  <c r="M9" i="1"/>
  <c r="V3" i="1"/>
  <c r="U9" i="6"/>
  <c r="U23" i="6"/>
  <c r="E6" i="1"/>
  <c r="F3" i="1"/>
  <c r="E3" i="1"/>
  <c r="E2" i="1"/>
  <c r="F2" i="1"/>
  <c r="F9" i="1" l="1"/>
  <c r="E9" i="1"/>
  <c r="V9" i="1"/>
</calcChain>
</file>

<file path=xl/sharedStrings.xml><?xml version="1.0" encoding="utf-8"?>
<sst xmlns="http://schemas.openxmlformats.org/spreadsheetml/2006/main" count="1008" uniqueCount="316">
  <si>
    <t>Cost</t>
  </si>
  <si>
    <t>FISCAL YEAR</t>
  </si>
  <si>
    <t>Q1</t>
  </si>
  <si>
    <t>Q2</t>
  </si>
  <si>
    <t>Q3</t>
  </si>
  <si>
    <t>Q4</t>
  </si>
  <si>
    <t>TOTAL</t>
  </si>
  <si>
    <t>TOTAL PLANNED</t>
  </si>
  <si>
    <t>ACTUAL COST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</si>
  <si>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</si>
  <si>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</si>
  <si>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</si>
  <si>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</si>
  <si>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</si>
  <si>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</si>
  <si>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</si>
  <si>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</si>
  <si>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</si>
  <si>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</si>
  <si>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</si>
  <si>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</si>
  <si>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MONTHLY PLANNED</t>
  </si>
  <si>
    <t>TOTAL ACTUAL</t>
  </si>
  <si>
    <t>BOOTHS &amp; EVENTS</t>
  </si>
  <si>
    <t>COST PER QI</t>
  </si>
  <si>
    <t>=/&lt; GOOD</t>
  </si>
  <si>
    <t>=/&gt; OKAY</t>
  </si>
  <si>
    <t>=/&gt; BAD</t>
  </si>
  <si>
    <t>REGION</t>
  </si>
  <si>
    <t>INSERTS</t>
  </si>
  <si>
    <t>REGION RESPONSE RATE</t>
  </si>
  <si>
    <t>=/&gt; GOOD</t>
  </si>
  <si>
    <t>=/&gt; OK</t>
  </si>
  <si>
    <t>=/&lt; BAD</t>
  </si>
  <si>
    <t>BOOTH COST</t>
  </si>
  <si>
    <t>Q/I</t>
  </si>
  <si>
    <t>COST/QI</t>
  </si>
  <si>
    <t>BOOTH BUDGET</t>
  </si>
  <si>
    <t>FACEBOOK/SOCIAL MEDIA</t>
  </si>
  <si>
    <t>INTERNET JOB POSTING</t>
  </si>
  <si>
    <t>NAME LIST/CONVERSION</t>
  </si>
  <si>
    <t>PNS</t>
  </si>
  <si>
    <t>MAIL OUTS</t>
  </si>
  <si>
    <t>GRAND TOTAL</t>
  </si>
  <si>
    <t>TOTAL OBLIGATED</t>
  </si>
  <si>
    <t>TOTAL REMAINING</t>
  </si>
  <si>
    <t>FYTD GROSS RESPONSE</t>
  </si>
  <si>
    <t>GENF</t>
  </si>
  <si>
    <t>GEXX</t>
  </si>
  <si>
    <t>RCNPSB</t>
  </si>
  <si>
    <t>SWED</t>
  </si>
  <si>
    <t>ACNPOC</t>
  </si>
  <si>
    <t>PROGRAM</t>
  </si>
  <si>
    <t>DESCRIPTION</t>
  </si>
  <si>
    <t>BUDGET</t>
  </si>
  <si>
    <t>SOCIAL MEDIA</t>
  </si>
  <si>
    <t>FY</t>
  </si>
  <si>
    <t>MONTHLY ACTUAL</t>
  </si>
  <si>
    <t>NAME LISTS / CONVERSIONS/ OTHER COSTS</t>
  </si>
  <si>
    <t>DATE</t>
  </si>
  <si>
    <t>PLANNED COST</t>
  </si>
  <si>
    <t>TOTALS</t>
  </si>
  <si>
    <t>PNS ADVERTISING FUNDS</t>
  </si>
  <si>
    <t>TOTAL BUDGET:</t>
  </si>
  <si>
    <t>REMAINING</t>
  </si>
  <si>
    <t>REGION CPQI</t>
  </si>
  <si>
    <t># QI</t>
  </si>
  <si>
    <t>GOOD</t>
  </si>
  <si>
    <t>OK</t>
  </si>
  <si>
    <t>BAD</t>
  </si>
  <si>
    <t>GOOD/BAD/OK</t>
  </si>
  <si>
    <t>MONTHS</t>
  </si>
  <si>
    <t>PER MONTH</t>
  </si>
  <si>
    <t>X</t>
  </si>
  <si>
    <t>FOR THE FY</t>
  </si>
  <si>
    <t>MONTH</t>
  </si>
  <si>
    <t>DIVISION</t>
  </si>
  <si>
    <t># OF BOOSTED MONTHS</t>
  </si>
  <si>
    <t>THESE ARE THE DOLLAR AMOUNTS THAT EACH STATION IN EACH DIVISION WILL GET IF WE BOOST EVERY STATION IN EACH OF THE 5 DIVISIONS THAT WILL GET BOOSTED THAT MONTH.</t>
  </si>
  <si>
    <t>SPECWAR</t>
  </si>
  <si>
    <t>NUKE</t>
  </si>
  <si>
    <t>FEMALE</t>
  </si>
  <si>
    <t>SUBS</t>
  </si>
  <si>
    <t>ACTUAL DATE</t>
  </si>
  <si>
    <t>PLANNED DATE</t>
  </si>
  <si>
    <t>PHOENIX</t>
  </si>
  <si>
    <t>ABQ</t>
  </si>
  <si>
    <t>ELPASO</t>
  </si>
  <si>
    <t>TUCSON</t>
  </si>
  <si>
    <t>PROGRAMS</t>
  </si>
  <si>
    <t>NROTC</t>
  </si>
  <si>
    <t>NVAL ACA.</t>
  </si>
  <si>
    <t>PILOT</t>
  </si>
  <si>
    <t>GENOFF</t>
  </si>
  <si>
    <t>MEDICAL</t>
  </si>
  <si>
    <t>RES OFF</t>
  </si>
  <si>
    <t>NUPOC</t>
  </si>
  <si>
    <t>GEN ENL</t>
  </si>
  <si>
    <t>AVIATION</t>
  </si>
  <si>
    <t>IT</t>
  </si>
  <si>
    <t>CTI</t>
  </si>
  <si>
    <t>PRIDE</t>
  </si>
  <si>
    <t>MONEY</t>
  </si>
  <si>
    <t>COLLEGE</t>
  </si>
  <si>
    <t>EXPERIENCE</t>
  </si>
  <si>
    <t>FORGED</t>
  </si>
  <si>
    <t># TO BOOST</t>
  </si>
  <si>
    <t>AREAS</t>
  </si>
  <si>
    <t>STATIONS</t>
  </si>
  <si>
    <t>$ PER NRS TO BOOST</t>
  </si>
  <si>
    <t># CAMPAIGNS</t>
  </si>
  <si>
    <t>FLAGSTAFF</t>
  </si>
  <si>
    <t>OCTOBER</t>
  </si>
  <si>
    <t>NOVEMBER</t>
  </si>
  <si>
    <t>DECEMBER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</si>
  <si>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</si>
  <si>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</si>
  <si>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</si>
  <si>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</si>
  <si>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</si>
  <si>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</si>
  <si>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</si>
  <si>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</si>
  <si>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AREA PROGRAMS PLAN</t>
  </si>
  <si>
    <r>
      <t xml:space="preserve">UTILYZING 2 CAMPAIGNS A MONTH PER 4 AREAS WILL BE MORE EFFICIENT WITH OUR MONEY.
4 MONTHS OF CONTINUED ACTIVITY WILL PROVIDE COVERAGE AND SOCIAL MEDIA SPREAD FOR THE "OFF" MONTH THAT POSTS ARE NOT BOOSTED.
</t>
    </r>
    <r>
      <rPr>
        <b/>
        <u/>
        <sz val="11"/>
        <color theme="1"/>
        <rFont val="Calibri"/>
        <family val="2"/>
        <scheme val="minor"/>
      </rPr>
      <t>CONTINUED PRESENCE IS KEY</t>
    </r>
  </si>
  <si>
    <t>ACDCDA</t>
  </si>
  <si>
    <t>ACGODA</t>
  </si>
  <si>
    <t>ACNCST</t>
  </si>
  <si>
    <t>NO4Y</t>
  </si>
  <si>
    <t>RCDCDC</t>
  </si>
  <si>
    <t>RCMCDC</t>
  </si>
  <si>
    <t>RCMSDC</t>
  </si>
  <si>
    <t>RCNCDC</t>
  </si>
  <si>
    <t>CB</t>
  </si>
  <si>
    <t>DIV</t>
  </si>
  <si>
    <t>RSID</t>
  </si>
  <si>
    <t xml:space="preserve"> </t>
  </si>
  <si>
    <t>NOTES</t>
  </si>
  <si>
    <t>DTS</t>
  </si>
  <si>
    <t>JON</t>
  </si>
  <si>
    <t>Q1 PLANNED</t>
  </si>
  <si>
    <t>Q1 SPENT</t>
  </si>
  <si>
    <t>Q1 REMAINING</t>
  </si>
  <si>
    <t>Q2 PLANNED</t>
  </si>
  <si>
    <t>Q2 SPENT</t>
  </si>
  <si>
    <t>Q2 REMAINING</t>
  </si>
  <si>
    <t>Q3 PLANNED</t>
  </si>
  <si>
    <t>Q3 SPENT</t>
  </si>
  <si>
    <t>Q3 REMAINING</t>
  </si>
  <si>
    <t>Q4 PLANNED</t>
  </si>
  <si>
    <t>Q4 SPENT</t>
  </si>
  <si>
    <t>Q4 REMAINING</t>
  </si>
  <si>
    <t>ACTUAL</t>
  </si>
  <si>
    <t>PLANNED</t>
  </si>
  <si>
    <t>Advertising - Active Enl Other Media / Facebook Boosts</t>
  </si>
  <si>
    <t>Advertising - Active Enl Other Media / Internet Job Boards</t>
  </si>
  <si>
    <t>Advertising - Active Med. Officer Other Media / Facebook Boosts</t>
  </si>
  <si>
    <t>Advertising - Active Med. Officer Other Media / Internet Job Boards</t>
  </si>
  <si>
    <t>Advertising - Active Gen. Officer Other Media / Facebook Boosts</t>
  </si>
  <si>
    <t>Advertising - Active Gen. Officer Other Media / Internet Job Boards</t>
  </si>
  <si>
    <t>Advertising - Reserve Enl Other Media / Facebook Boosts</t>
  </si>
  <si>
    <t>Advertising - Reserve Enl Other Media / Internet Job Boards</t>
  </si>
  <si>
    <t>Advertising - Reserve Med. Officer Other Media / Facebook Boosts</t>
  </si>
  <si>
    <t>Advertising - Reserve Med. Officer Other Media / Internet Job Boards</t>
  </si>
  <si>
    <t>Advertising - Reserve Gen. Officer Other Media / Facebook Boosts</t>
  </si>
  <si>
    <t>Advertising - Reserve Gen. Officer Other Media / Internet Job Boards</t>
  </si>
  <si>
    <t>Aviation Officer Candidate Booth Rentals</t>
  </si>
  <si>
    <t>Diversity Officer Booth Rentals</t>
  </si>
  <si>
    <t>Education Specialist Booth Rentals</t>
  </si>
  <si>
    <t>Enlisted Booth Rentals</t>
  </si>
  <si>
    <t>Medical Booth Rentals</t>
  </si>
  <si>
    <t>Nuclear Booth Rentals</t>
  </si>
  <si>
    <t>Officer Booth Rentals</t>
  </si>
  <si>
    <t>JON TITLE</t>
  </si>
  <si>
    <t>PLANNING BUDGET</t>
  </si>
  <si>
    <t>Travel Date</t>
  </si>
  <si>
    <t>DESTINATION</t>
  </si>
  <si>
    <t>TRAVEL ID</t>
  </si>
  <si>
    <t>Q1 ROLLED</t>
  </si>
  <si>
    <t>Q2 ROLLED</t>
  </si>
  <si>
    <t>Q3 ROLLED</t>
  </si>
  <si>
    <t>BUDGET:</t>
  </si>
  <si>
    <t>ACTUAL SPENT</t>
  </si>
  <si>
    <t>ACHPSP</t>
  </si>
  <si>
    <t>ACMSDA</t>
  </si>
  <si>
    <t>BUDGET TOTAL</t>
  </si>
  <si>
    <t>USED TOTAL</t>
  </si>
  <si>
    <t>BUDGET MONTHLY</t>
  </si>
  <si>
    <t>USED MONTHLY</t>
  </si>
  <si>
    <t>SPENT</t>
  </si>
  <si>
    <t>PLND DROP DT</t>
  </si>
  <si>
    <t>PLND POSTAL</t>
  </si>
  <si>
    <t>PLND AD COSTS</t>
  </si>
  <si>
    <t>PLND TOTAL</t>
  </si>
  <si>
    <t>ACT DROP DT</t>
  </si>
  <si>
    <t>ACT POSTAL</t>
  </si>
  <si>
    <t>ACT AD COSTS</t>
  </si>
  <si>
    <t>ACT TOTAL</t>
  </si>
  <si>
    <t xml:space="preserve">VARIANCE </t>
  </si>
  <si>
    <t>NAVCRUITDIST</t>
  </si>
  <si>
    <t>RCCCDC</t>
  </si>
  <si>
    <t>NC SELECTS</t>
  </si>
  <si>
    <t>Q/I LEADS</t>
  </si>
  <si>
    <t>CONVERSION RATE</t>
  </si>
  <si>
    <t>CONVERSION RATIO x:1</t>
  </si>
  <si>
    <t>% CTG</t>
  </si>
  <si>
    <t>GOAL</t>
  </si>
  <si>
    <t>ABBRV</t>
  </si>
  <si>
    <t>STATION</t>
  </si>
  <si>
    <t>STATUS</t>
  </si>
  <si>
    <t># INSPECTED</t>
  </si>
  <si>
    <t># PASS</t>
  </si>
  <si>
    <t># FAIL</t>
  </si>
  <si>
    <t>DISTRICT</t>
  </si>
  <si>
    <t>PASS: 80% OF LEADS MUST BE "SAT"</t>
  </si>
  <si>
    <t>PASS %</t>
  </si>
  <si>
    <t>BOOTH EVENTS</t>
  </si>
  <si>
    <t>ACNCDA</t>
  </si>
  <si>
    <t>SABR JON</t>
  </si>
  <si>
    <t>FAD9F</t>
  </si>
  <si>
    <t>FAD96</t>
  </si>
  <si>
    <t>FAD9S</t>
  </si>
  <si>
    <t>FAD9G</t>
  </si>
  <si>
    <t>FAD97</t>
  </si>
  <si>
    <t>AD9F</t>
  </si>
  <si>
    <t>AD9S</t>
  </si>
  <si>
    <t>AD96</t>
  </si>
  <si>
    <t>AD9G</t>
  </si>
  <si>
    <t>AD97</t>
  </si>
  <si>
    <t>ADAW</t>
  </si>
  <si>
    <t>INTERNET</t>
  </si>
  <si>
    <t>FAD9N</t>
  </si>
  <si>
    <t>FADAU</t>
  </si>
  <si>
    <t>EDSPEC</t>
  </si>
  <si>
    <t>FADAR</t>
  </si>
  <si>
    <t>FADAX</t>
  </si>
  <si>
    <t>FADAW</t>
  </si>
  <si>
    <t>AD9N</t>
  </si>
  <si>
    <t>ADAX</t>
  </si>
  <si>
    <t>ADAR</t>
  </si>
  <si>
    <t>ADAU</t>
  </si>
  <si>
    <t>REACH</t>
  </si>
  <si>
    <t>RESPONSES</t>
  </si>
  <si>
    <t>RESPONSE RATE</t>
  </si>
  <si>
    <t>FAD9E</t>
  </si>
  <si>
    <t>AD9E</t>
  </si>
  <si>
    <t>FAD98</t>
  </si>
  <si>
    <t>FADAK</t>
  </si>
  <si>
    <t>FADSY</t>
  </si>
  <si>
    <t>FADAT</t>
  </si>
  <si>
    <t>FADAV</t>
  </si>
  <si>
    <t>INTERNET JOB BOARDS</t>
  </si>
  <si>
    <t>ADPLAN GOALS</t>
  </si>
  <si>
    <t>RL</t>
  </si>
  <si>
    <t>NC</t>
  </si>
  <si>
    <t>GENERATED LEADS / NEW CONTRACTS</t>
  </si>
  <si>
    <t>DATE PAID</t>
  </si>
  <si>
    <t>EVENT / CAREER FAIR</t>
  </si>
  <si>
    <t>TRAVEL:</t>
  </si>
  <si>
    <t>NAME LIST CONVERSIONS/OTHER:</t>
  </si>
  <si>
    <t>TOTAL:</t>
  </si>
  <si>
    <t>AD PLANNING</t>
  </si>
  <si>
    <t>THIS IS FOR PLOTTING ALL OF YOUR JONS PER MONTH</t>
  </si>
  <si>
    <t>GROSS RESPONSE</t>
  </si>
  <si>
    <t>REGION R/R</t>
  </si>
  <si>
    <t>=INSERTS/GROSS RESPONSE</t>
  </si>
  <si>
    <t>TOTALS %</t>
  </si>
  <si>
    <t>%</t>
  </si>
  <si>
    <t>TOTAL #</t>
  </si>
  <si>
    <t>SAT</t>
  </si>
  <si>
    <t>Campaign Tracker is on ADPLAN GOALS tab.</t>
  </si>
  <si>
    <t>DATE SPENT</t>
  </si>
  <si>
    <t>SCHOOL</t>
  </si>
  <si>
    <t>NONU</t>
  </si>
  <si>
    <t>ACCCDA</t>
  </si>
  <si>
    <t>ACCCST</t>
  </si>
  <si>
    <t>ACCEDA</t>
  </si>
  <si>
    <t>ACJGDA</t>
  </si>
  <si>
    <t>ACJGST</t>
  </si>
  <si>
    <t>ACNEDA</t>
  </si>
  <si>
    <t>ACNIDA</t>
  </si>
  <si>
    <t>ACAODA</t>
  </si>
  <si>
    <t>ACSWDA</t>
  </si>
  <si>
    <t>ACMCDA</t>
  </si>
  <si>
    <t>ACMFAP</t>
  </si>
  <si>
    <t>ACDFAP</t>
  </si>
  <si>
    <t>ACHSCP</t>
  </si>
  <si>
    <t>RCNAVT</t>
  </si>
  <si>
    <t>RCOSVT</t>
  </si>
  <si>
    <t>RCGODC</t>
  </si>
  <si>
    <t>RCCCVT</t>
  </si>
  <si>
    <t>RCGOVT</t>
  </si>
  <si>
    <t>RCJGVT</t>
  </si>
  <si>
    <t>RCDCVT</t>
  </si>
  <si>
    <t>RCMCVT</t>
  </si>
  <si>
    <t>RCMSVT</t>
  </si>
  <si>
    <t>RCNCVT</t>
  </si>
  <si>
    <t>ADSY</t>
  </si>
  <si>
    <t>NTAG CPQI</t>
  </si>
  <si>
    <t>NTAG</t>
  </si>
  <si>
    <t>NTAG RESPONSE RATE</t>
  </si>
  <si>
    <t>Advertising - NROTC Local Ads/Newspapers (PNS)</t>
  </si>
  <si>
    <t>Advertising - NROTC Local Ads / Magazine / Other Media / Misc (PNS)</t>
  </si>
  <si>
    <t>NROTC Booth Rentals (PNS)</t>
  </si>
  <si>
    <t>OFFICER</t>
  </si>
  <si>
    <t>ENLISTED</t>
  </si>
  <si>
    <t>ACBDCP</t>
  </si>
  <si>
    <t>RES ENLISTED</t>
  </si>
  <si>
    <t>RES OFFICER</t>
  </si>
  <si>
    <t>RES MEDICAL</t>
  </si>
  <si>
    <t>GROUP</t>
  </si>
  <si>
    <t>*Officer and Res Officer Budget includes Medical and Reserve Medical Programs respectively. Medical &amp; Res Medical are summed in order to reflect budget allotted separate from Officer Programs.</t>
  </si>
  <si>
    <t>**If budget totals do not match above ensure you have a PROGRAM listed for all events.</t>
  </si>
  <si>
    <t>BUDGET OVERVIEW BY PROGRAM</t>
  </si>
  <si>
    <t>INSERTS/VIEWS</t>
  </si>
  <si>
    <t>DLCPO 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</si>
</sst>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164" formatCode="&quot;$&quot;#,##0.00"/>
    <numFmt numFmtId="165" formatCode="[$-409]d\-mmm\-yy;@"/>
    <numFmt numFmtId="166" formatCode="&quot;$&quot;#,##0"/>
    <numFmt numFmtId="167" formatCode="mmm"/>
    <numFmt numFmtId="168" formatCode="0.0%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8585"/>
        <bgColor indexed="64"/>
      </patternFill>
    </fill>
    <fill>
      <patternFill patternType="solid">
        <fgColor rgb="FFC7A1E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23B0B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5D5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6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65" fontId="2" fillId="0" borderId="1" xfId="0" applyNumberFormat="1" applyFont="1" applyFill="1" applyBorder="1" applyAlignment="1" applyProtection="1">
      <alignment horizontal="center" vertical="center"/>
      <protection locked="0"/>
    </xf>
    <xf numFmtId="164" fontId="3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164" fontId="3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0" borderId="9" xfId="0" quotePrefix="1" applyFont="1" applyBorder="1" applyAlignment="1" applyProtection="1">
      <alignment horizontal="center" vertical="center"/>
    </xf>
    <xf numFmtId="0" fontId="1" fillId="0" borderId="1" xfId="0" quotePrefix="1" applyFont="1" applyBorder="1" applyAlignment="1" applyProtection="1">
      <alignment horizontal="center" vertical="center"/>
    </xf>
    <xf numFmtId="0" fontId="1" fillId="0" borderId="10" xfId="0" quotePrefix="1" applyFont="1" applyBorder="1" applyAlignment="1" applyProtection="1">
      <alignment horizontal="center" vertical="center"/>
    </xf>
    <xf numFmtId="164" fontId="0" fillId="0" borderId="0" xfId="0" applyNumberFormat="1" applyProtection="1"/>
    <xf numFmtId="164" fontId="0" fillId="6" borderId="9" xfId="0" applyNumberFormat="1" applyFill="1" applyBorder="1" applyProtection="1"/>
    <xf numFmtId="164" fontId="0" fillId="7" borderId="10" xfId="0" applyNumberFormat="1" applyFill="1" applyBorder="1" applyAlignment="1" applyProtection="1">
      <alignment horizontal="center" vertical="center"/>
    </xf>
    <xf numFmtId="164" fontId="0" fillId="2" borderId="9" xfId="0" applyNumberFormat="1" applyFill="1" applyBorder="1" applyAlignment="1" applyProtection="1">
      <alignment horizontal="center" vertical="center"/>
    </xf>
    <xf numFmtId="164" fontId="0" fillId="4" borderId="1" xfId="0" applyNumberFormat="1" applyFill="1" applyBorder="1" applyAlignment="1" applyProtection="1">
      <alignment horizontal="center" vertical="center"/>
    </xf>
    <xf numFmtId="164" fontId="0" fillId="8" borderId="10" xfId="0" applyNumberForma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164" fontId="0" fillId="6" borderId="11" xfId="0" applyNumberFormat="1" applyFill="1" applyBorder="1" applyProtection="1"/>
    <xf numFmtId="164" fontId="0" fillId="7" borderId="12" xfId="0" applyNumberFormat="1" applyFill="1" applyBorder="1" applyAlignment="1" applyProtection="1">
      <alignment horizontal="center" vertical="center"/>
    </xf>
    <xf numFmtId="164" fontId="1" fillId="6" borderId="5" xfId="0" applyNumberFormat="1" applyFont="1" applyFill="1" applyBorder="1" applyProtection="1"/>
    <xf numFmtId="164" fontId="1" fillId="6" borderId="6" xfId="0" applyNumberFormat="1" applyFont="1" applyFill="1" applyBorder="1" applyAlignment="1" applyProtection="1">
      <alignment horizontal="center" vertical="center"/>
    </xf>
    <xf numFmtId="164" fontId="1" fillId="7" borderId="5" xfId="0" applyNumberFormat="1" applyFont="1" applyFill="1" applyBorder="1" applyProtection="1"/>
    <xf numFmtId="164" fontId="1" fillId="7" borderId="6" xfId="0" applyNumberFormat="1" applyFont="1" applyFill="1" applyBorder="1" applyAlignment="1" applyProtection="1">
      <alignment horizontal="center" vertical="center"/>
    </xf>
    <xf numFmtId="10" fontId="0" fillId="0" borderId="10" xfId="0" applyNumberFormat="1" applyBorder="1" applyAlignment="1" applyProtection="1">
      <alignment horizontal="center" vertical="center"/>
    </xf>
    <xf numFmtId="0" fontId="1" fillId="2" borderId="9" xfId="0" quotePrefix="1" applyFont="1" applyFill="1" applyBorder="1" applyAlignment="1" applyProtection="1">
      <alignment horizontal="center" vertical="center"/>
    </xf>
    <xf numFmtId="0" fontId="1" fillId="4" borderId="1" xfId="0" quotePrefix="1" applyFont="1" applyFill="1" applyBorder="1" applyAlignment="1" applyProtection="1">
      <alignment horizontal="center" vertical="center"/>
    </xf>
    <xf numFmtId="0" fontId="1" fillId="8" borderId="10" xfId="0" quotePrefix="1" applyFont="1" applyFill="1" applyBorder="1" applyAlignment="1" applyProtection="1">
      <alignment horizontal="center" vertical="center"/>
    </xf>
    <xf numFmtId="10" fontId="0" fillId="0" borderId="22" xfId="0" applyNumberFormat="1" applyBorder="1" applyAlignment="1" applyProtection="1">
      <alignment horizontal="center" vertical="center"/>
    </xf>
    <xf numFmtId="10" fontId="0" fillId="0" borderId="23" xfId="0" applyNumberFormat="1" applyBorder="1" applyAlignment="1" applyProtection="1">
      <alignment horizontal="center" vertical="center"/>
    </xf>
    <xf numFmtId="10" fontId="0" fillId="0" borderId="24" xfId="0" applyNumberFormat="1" applyBorder="1" applyAlignment="1" applyProtection="1">
      <alignment horizontal="center" vertical="center"/>
    </xf>
    <xf numFmtId="0" fontId="0" fillId="3" borderId="15" xfId="0" applyFill="1" applyBorder="1" applyProtection="1"/>
    <xf numFmtId="0" fontId="0" fillId="0" borderId="1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164" fontId="0" fillId="0" borderId="24" xfId="0" applyNumberFormat="1" applyBorder="1" applyAlignment="1" applyProtection="1">
      <alignment horizontal="center" vertical="center"/>
    </xf>
    <xf numFmtId="165" fontId="3" fillId="0" borderId="1" xfId="0" applyNumberFormat="1" applyFont="1" applyFill="1" applyBorder="1" applyAlignment="1" applyProtection="1">
      <alignment horizontal="center" vertical="center"/>
      <protection locked="0"/>
    </xf>
    <xf numFmtId="165" fontId="3" fillId="0" borderId="0" xfId="0" applyNumberFormat="1" applyFont="1" applyFill="1" applyBorder="1" applyAlignment="1">
      <alignment horizontal="center" vertical="center"/>
    </xf>
    <xf numFmtId="0" fontId="4" fillId="0" borderId="0" xfId="0" applyFont="1"/>
    <xf numFmtId="164" fontId="0" fillId="0" borderId="0" xfId="0" applyNumberFormat="1"/>
    <xf numFmtId="164" fontId="0" fillId="7" borderId="9" xfId="0" applyNumberFormat="1" applyFill="1" applyBorder="1" applyProtection="1"/>
    <xf numFmtId="164" fontId="0" fillId="7" borderId="24" xfId="0" applyNumberFormat="1" applyFill="1" applyBorder="1" applyAlignment="1" applyProtection="1">
      <alignment horizontal="center" vertical="center"/>
    </xf>
    <xf numFmtId="164" fontId="0" fillId="6" borderId="10" xfId="0" applyNumberFormat="1" applyFill="1" applyBorder="1" applyAlignment="1" applyProtection="1">
      <alignment horizontal="center" vertical="center"/>
    </xf>
    <xf numFmtId="164" fontId="0" fillId="6" borderId="24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164" fontId="2" fillId="1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165" fontId="4" fillId="0" borderId="0" xfId="0" applyNumberFormat="1" applyFont="1" applyFill="1" applyBorder="1" applyAlignment="1">
      <alignment horizontal="center" vertical="center"/>
    </xf>
    <xf numFmtId="10" fontId="0" fillId="0" borderId="0" xfId="0" applyNumberFormat="1"/>
    <xf numFmtId="165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165" fontId="2" fillId="0" borderId="0" xfId="0" applyNumberFormat="1" applyFont="1" applyFill="1" applyBorder="1" applyAlignment="1" applyProtection="1">
      <alignment horizontal="center" vertical="center"/>
    </xf>
    <xf numFmtId="164" fontId="3" fillId="0" borderId="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4" fillId="0" borderId="0" xfId="0" applyFont="1" applyFill="1"/>
    <xf numFmtId="164" fontId="0" fillId="6" borderId="12" xfId="0" applyNumberForma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 applyFont="1" applyFill="1" applyBorder="1" applyAlignment="1" applyProtection="1">
      <alignment horizontal="center" vertical="center"/>
    </xf>
    <xf numFmtId="164" fontId="0" fillId="7" borderId="11" xfId="0" applyNumberFormat="1" applyFill="1" applyBorder="1" applyProtection="1"/>
    <xf numFmtId="0" fontId="1" fillId="3" borderId="0" xfId="0" applyFont="1" applyFill="1" applyProtection="1"/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164" fontId="0" fillId="0" borderId="0" xfId="0" applyNumberFormat="1" applyFill="1" applyBorder="1" applyProtection="1"/>
    <xf numFmtId="0" fontId="3" fillId="0" borderId="1" xfId="0" applyFont="1" applyBorder="1" applyAlignment="1" applyProtection="1">
      <alignment horizontal="center" vertical="center"/>
      <protection locked="0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8" fontId="3" fillId="0" borderId="1" xfId="0" applyNumberFormat="1" applyFont="1" applyBorder="1" applyAlignment="1" applyProtection="1">
      <alignment horizontal="center" vertical="center"/>
      <protection locked="0"/>
    </xf>
    <xf numFmtId="9" fontId="3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56" xfId="0" applyNumberFormat="1" applyFont="1" applyFill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164" fontId="2" fillId="0" borderId="10" xfId="0" applyNumberFormat="1" applyFont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164" fontId="0" fillId="0" borderId="24" xfId="0" applyNumberFormat="1" applyBorder="1" applyAlignment="1" applyProtection="1">
      <alignment vertical="center"/>
      <protection locked="0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50" xfId="0" applyNumberFormat="1" applyFont="1" applyBorder="1" applyAlignment="1" applyProtection="1">
      <alignment horizontal="center" vertical="center"/>
      <protection locked="0"/>
    </xf>
    <xf numFmtId="164" fontId="2" fillId="0" borderId="10" xfId="0" applyNumberFormat="1" applyFont="1" applyBorder="1" applyAlignment="1" applyProtection="1">
      <alignment horizontal="center" vertical="center"/>
      <protection locked="0"/>
    </xf>
    <xf numFmtId="165" fontId="0" fillId="0" borderId="23" xfId="0" applyNumberFormat="1" applyBorder="1" applyAlignment="1" applyProtection="1">
      <alignment horizontal="center" vertical="center"/>
      <protection locked="0"/>
    </xf>
    <xf numFmtId="164" fontId="0" fillId="0" borderId="51" xfId="0" applyNumberFormat="1" applyBorder="1" applyAlignment="1" applyProtection="1">
      <alignment horizontal="center" vertical="center"/>
      <protection locked="0"/>
    </xf>
    <xf numFmtId="164" fontId="0" fillId="0" borderId="24" xfId="0" applyNumberFormat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164" fontId="0" fillId="13" borderId="10" xfId="0" applyNumberFormat="1" applyFill="1" applyBorder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0" fillId="3" borderId="8" xfId="0" applyFill="1" applyBorder="1"/>
    <xf numFmtId="164" fontId="2" fillId="0" borderId="1" xfId="0" applyNumberFormat="1" applyFon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23" xfId="0" applyNumberFormat="1" applyBorder="1" applyAlignment="1" applyProtection="1">
      <alignment vertical="center"/>
      <protection locked="0"/>
    </xf>
    <xf numFmtId="14" fontId="2" fillId="0" borderId="1" xfId="0" applyNumberFormat="1" applyFont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horizontal="right" vertical="center"/>
    </xf>
    <xf numFmtId="0" fontId="1" fillId="3" borderId="8" xfId="0" applyFont="1" applyFill="1" applyBorder="1" applyAlignment="1" applyProtection="1">
      <alignment horizontal="left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 wrapText="1"/>
    </xf>
    <xf numFmtId="0" fontId="1" fillId="0" borderId="49" xfId="0" applyFont="1" applyBorder="1" applyAlignment="1" applyProtection="1">
      <alignment horizontal="center" vertical="center" wrapText="1"/>
    </xf>
    <xf numFmtId="0" fontId="13" fillId="9" borderId="19" xfId="0" applyFont="1" applyFill="1" applyBorder="1" applyAlignment="1" applyProtection="1">
      <alignment horizontal="center" vertical="center" wrapText="1"/>
    </xf>
    <xf numFmtId="0" fontId="13" fillId="9" borderId="20" xfId="0" applyFont="1" applyFill="1" applyBorder="1" applyAlignment="1" applyProtection="1">
      <alignment horizontal="center" vertical="center" wrapText="1"/>
    </xf>
    <xf numFmtId="0" fontId="13" fillId="9" borderId="49" xfId="0" applyFont="1" applyFill="1" applyBorder="1" applyAlignment="1" applyProtection="1">
      <alignment horizontal="center" vertical="center" wrapText="1"/>
    </xf>
    <xf numFmtId="0" fontId="13" fillId="14" borderId="19" xfId="0" applyFont="1" applyFill="1" applyBorder="1" applyAlignment="1" applyProtection="1">
      <alignment horizontal="center" vertical="center" wrapText="1"/>
    </xf>
    <xf numFmtId="0" fontId="13" fillId="14" borderId="20" xfId="0" applyFont="1" applyFill="1" applyBorder="1" applyAlignment="1" applyProtection="1">
      <alignment horizontal="center" vertical="center" wrapText="1"/>
    </xf>
    <xf numFmtId="0" fontId="13" fillId="14" borderId="21" xfId="0" applyFont="1" applyFill="1" applyBorder="1" applyAlignment="1" applyProtection="1">
      <alignment horizontal="center" vertical="center" wrapText="1"/>
    </xf>
    <xf numFmtId="0" fontId="13" fillId="15" borderId="19" xfId="0" applyFont="1" applyFill="1" applyBorder="1" applyAlignment="1" applyProtection="1">
      <alignment horizontal="center" vertical="center" wrapText="1"/>
    </xf>
    <xf numFmtId="0" fontId="13" fillId="15" borderId="20" xfId="0" applyFont="1" applyFill="1" applyBorder="1" applyAlignment="1" applyProtection="1">
      <alignment horizontal="center" vertical="center" wrapText="1"/>
    </xf>
    <xf numFmtId="0" fontId="13" fillId="15" borderId="21" xfId="0" applyFont="1" applyFill="1" applyBorder="1" applyAlignment="1" applyProtection="1">
      <alignment horizontal="center" vertical="center" wrapText="1"/>
    </xf>
    <xf numFmtId="0" fontId="13" fillId="13" borderId="19" xfId="0" applyFont="1" applyFill="1" applyBorder="1" applyAlignment="1" applyProtection="1">
      <alignment horizontal="center" vertical="center" wrapText="1"/>
    </xf>
    <xf numFmtId="0" fontId="13" fillId="13" borderId="20" xfId="0" applyFont="1" applyFill="1" applyBorder="1" applyAlignment="1" applyProtection="1">
      <alignment horizontal="center" vertical="center" wrapText="1"/>
    </xf>
    <xf numFmtId="0" fontId="13" fillId="13" borderId="21" xfId="0" applyFont="1" applyFill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 wrapText="1"/>
    </xf>
    <xf numFmtId="164" fontId="0" fillId="0" borderId="1" xfId="0" applyNumberFormat="1" applyBorder="1" applyProtection="1"/>
    <xf numFmtId="164" fontId="0" fillId="0" borderId="50" xfId="0" applyNumberFormat="1" applyBorder="1" applyProtection="1"/>
    <xf numFmtId="164" fontId="0" fillId="9" borderId="9" xfId="0" applyNumberFormat="1" applyFill="1" applyBorder="1" applyProtection="1"/>
    <xf numFmtId="164" fontId="0" fillId="9" borderId="1" xfId="0" applyNumberFormat="1" applyFill="1" applyBorder="1" applyProtection="1"/>
    <xf numFmtId="164" fontId="0" fillId="14" borderId="9" xfId="0" applyNumberFormat="1" applyFill="1" applyBorder="1" applyProtection="1"/>
    <xf numFmtId="164" fontId="0" fillId="14" borderId="1" xfId="0" applyNumberFormat="1" applyFill="1" applyBorder="1" applyProtection="1"/>
    <xf numFmtId="164" fontId="0" fillId="15" borderId="9" xfId="0" applyNumberFormat="1" applyFill="1" applyBorder="1" applyProtection="1"/>
    <xf numFmtId="164" fontId="0" fillId="15" borderId="1" xfId="0" applyNumberFormat="1" applyFill="1" applyBorder="1" applyProtection="1"/>
    <xf numFmtId="164" fontId="0" fillId="13" borderId="9" xfId="0" applyNumberFormat="1" applyFill="1" applyBorder="1" applyProtection="1"/>
    <xf numFmtId="164" fontId="0" fillId="13" borderId="1" xfId="0" applyNumberFormat="1" applyFill="1" applyBorder="1" applyProtection="1"/>
    <xf numFmtId="164" fontId="0" fillId="0" borderId="27" xfId="0" applyNumberFormat="1" applyBorder="1" applyProtection="1"/>
    <xf numFmtId="164" fontId="0" fillId="0" borderId="31" xfId="0" applyNumberFormat="1" applyBorder="1" applyProtection="1"/>
    <xf numFmtId="164" fontId="0" fillId="0" borderId="52" xfId="0" applyNumberFormat="1" applyBorder="1" applyProtection="1"/>
    <xf numFmtId="164" fontId="0" fillId="9" borderId="5" xfId="0" applyNumberFormat="1" applyFill="1" applyBorder="1" applyProtection="1"/>
    <xf numFmtId="164" fontId="0" fillId="9" borderId="31" xfId="0" applyNumberFormat="1" applyFill="1" applyBorder="1" applyProtection="1"/>
    <xf numFmtId="164" fontId="0" fillId="9" borderId="52" xfId="0" applyNumberFormat="1" applyFill="1" applyBorder="1" applyProtection="1"/>
    <xf numFmtId="164" fontId="0" fillId="14" borderId="5" xfId="0" applyNumberFormat="1" applyFill="1" applyBorder="1" applyProtection="1"/>
    <xf numFmtId="164" fontId="0" fillId="14" borderId="31" xfId="0" applyNumberFormat="1" applyFill="1" applyBorder="1" applyProtection="1"/>
    <xf numFmtId="164" fontId="0" fillId="14" borderId="6" xfId="0" applyNumberFormat="1" applyFill="1" applyBorder="1" applyProtection="1"/>
    <xf numFmtId="164" fontId="0" fillId="15" borderId="5" xfId="0" applyNumberFormat="1" applyFill="1" applyBorder="1" applyProtection="1"/>
    <xf numFmtId="164" fontId="0" fillId="15" borderId="31" xfId="0" applyNumberFormat="1" applyFill="1" applyBorder="1" applyProtection="1"/>
    <xf numFmtId="164" fontId="0" fillId="15" borderId="6" xfId="0" applyNumberFormat="1" applyFill="1" applyBorder="1" applyProtection="1"/>
    <xf numFmtId="164" fontId="0" fillId="13" borderId="5" xfId="0" applyNumberFormat="1" applyFill="1" applyBorder="1" applyProtection="1"/>
    <xf numFmtId="164" fontId="0" fillId="13" borderId="31" xfId="0" applyNumberFormat="1" applyFill="1" applyBorder="1" applyProtection="1"/>
    <xf numFmtId="164" fontId="0" fillId="13" borderId="6" xfId="0" applyNumberFormat="1" applyFill="1" applyBorder="1" applyProtection="1"/>
    <xf numFmtId="164" fontId="0" fillId="0" borderId="18" xfId="0" applyNumberFormat="1" applyBorder="1" applyProtection="1"/>
    <xf numFmtId="0" fontId="0" fillId="0" borderId="19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49" xfId="0" applyBorder="1" applyAlignment="1" applyProtection="1">
      <alignment horizontal="right" vertical="center"/>
    </xf>
    <xf numFmtId="0" fontId="0" fillId="0" borderId="9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50" xfId="0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" fillId="0" borderId="5" xfId="0" applyFont="1" applyBorder="1" applyAlignment="1" applyProtection="1">
      <alignment horizontal="right" vertical="center"/>
    </xf>
    <xf numFmtId="164" fontId="0" fillId="0" borderId="6" xfId="0" applyNumberFormat="1" applyBorder="1" applyAlignment="1" applyProtection="1">
      <alignment vertical="center"/>
    </xf>
    <xf numFmtId="164" fontId="12" fillId="0" borderId="5" xfId="0" applyNumberFormat="1" applyFont="1" applyBorder="1" applyAlignment="1" applyProtection="1">
      <alignment horizontal="right" vertical="center"/>
    </xf>
    <xf numFmtId="0" fontId="3" fillId="0" borderId="55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164" fontId="0" fillId="5" borderId="22" xfId="0" applyNumberFormat="1" applyFill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center" vertical="center"/>
      <protection locked="0"/>
    </xf>
    <xf numFmtId="164" fontId="0" fillId="5" borderId="9" xfId="0" applyNumberFormat="1" applyFill="1" applyBorder="1" applyAlignment="1" applyProtection="1">
      <alignment horizontal="center" vertical="center"/>
      <protection locked="0"/>
    </xf>
    <xf numFmtId="164" fontId="0" fillId="5" borderId="10" xfId="0" applyNumberFormat="1" applyFill="1" applyBorder="1" applyAlignment="1" applyProtection="1">
      <alignment horizontal="center" vertical="center"/>
      <protection locked="0"/>
    </xf>
    <xf numFmtId="0" fontId="0" fillId="3" borderId="37" xfId="0" applyFill="1" applyBorder="1" applyProtection="1"/>
    <xf numFmtId="0" fontId="0" fillId="3" borderId="38" xfId="0" applyFill="1" applyBorder="1" applyProtection="1"/>
    <xf numFmtId="167" fontId="0" fillId="6" borderId="9" xfId="0" applyNumberFormat="1" applyFill="1" applyBorder="1" applyAlignment="1" applyProtection="1">
      <alignment horizontal="center" vertical="center"/>
    </xf>
    <xf numFmtId="164" fontId="0" fillId="6" borderId="9" xfId="0" applyNumberFormat="1" applyFill="1" applyBorder="1" applyAlignment="1" applyProtection="1">
      <alignment horizontal="center" vertical="center"/>
    </xf>
    <xf numFmtId="164" fontId="0" fillId="6" borderId="11" xfId="0" applyNumberForma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vertical="center"/>
    </xf>
    <xf numFmtId="164" fontId="1" fillId="6" borderId="5" xfId="0" applyNumberFormat="1" applyFont="1" applyFill="1" applyBorder="1" applyAlignment="1" applyProtection="1">
      <alignment vertical="center"/>
    </xf>
    <xf numFmtId="164" fontId="1" fillId="7" borderId="5" xfId="0" applyNumberFormat="1" applyFont="1" applyFill="1" applyBorder="1" applyAlignment="1" applyProtection="1">
      <alignment vertical="center"/>
    </xf>
    <xf numFmtId="0" fontId="0" fillId="3" borderId="15" xfId="0" applyFill="1" applyBorder="1" applyAlignment="1" applyProtection="1">
      <alignment vertical="center"/>
    </xf>
    <xf numFmtId="164" fontId="0" fillId="7" borderId="9" xfId="0" applyNumberFormat="1" applyFill="1" applyBorder="1" applyAlignment="1" applyProtection="1">
      <alignment horizontal="center" vertical="center"/>
    </xf>
    <xf numFmtId="164" fontId="0" fillId="7" borderId="11" xfId="0" applyNumberFormat="1" applyFill="1" applyBorder="1" applyAlignment="1" applyProtection="1">
      <alignment horizontal="center" vertical="center"/>
    </xf>
    <xf numFmtId="164" fontId="0" fillId="7" borderId="50" xfId="0" applyNumberFormat="1" applyFill="1" applyBorder="1" applyAlignment="1" applyProtection="1">
      <alignment horizontal="center" vertical="center"/>
    </xf>
    <xf numFmtId="164" fontId="0" fillId="7" borderId="53" xfId="0" applyNumberFormat="1" applyFill="1" applyBorder="1" applyAlignment="1" applyProtection="1">
      <alignment horizontal="center" vertical="center"/>
    </xf>
    <xf numFmtId="164" fontId="1" fillId="7" borderId="52" xfId="0" applyNumberFormat="1" applyFont="1" applyFill="1" applyBorder="1" applyAlignment="1" applyProtection="1">
      <alignment horizontal="center" vertical="center"/>
    </xf>
    <xf numFmtId="0" fontId="0" fillId="13" borderId="34" xfId="0" applyFill="1" applyBorder="1" applyAlignment="1">
      <alignment horizontal="center" vertical="center"/>
    </xf>
    <xf numFmtId="164" fontId="0" fillId="13" borderId="48" xfId="0" applyNumberFormat="1" applyFill="1" applyBorder="1" applyAlignment="1">
      <alignment horizontal="center" vertical="center"/>
    </xf>
    <xf numFmtId="164" fontId="0" fillId="13" borderId="35" xfId="0" applyNumberFormat="1" applyFill="1" applyBorder="1" applyAlignment="1">
      <alignment horizontal="center" vertical="center"/>
    </xf>
    <xf numFmtId="164" fontId="0" fillId="13" borderId="47" xfId="0" applyNumberFormat="1" applyFill="1" applyBorder="1" applyAlignment="1">
      <alignment horizontal="center" vertical="center"/>
    </xf>
    <xf numFmtId="164" fontId="0" fillId="13" borderId="2" xfId="0" applyNumberFormat="1" applyFill="1" applyBorder="1" applyAlignment="1">
      <alignment horizontal="center" vertical="center"/>
    </xf>
    <xf numFmtId="164" fontId="0" fillId="13" borderId="34" xfId="0" applyNumberFormat="1" applyFill="1" applyBorder="1" applyAlignment="1">
      <alignment horizontal="center" vertical="center"/>
    </xf>
    <xf numFmtId="164" fontId="0" fillId="13" borderId="36" xfId="0" applyNumberFormat="1" applyFill="1" applyBorder="1" applyAlignment="1">
      <alignment horizontal="center" vertical="center"/>
    </xf>
    <xf numFmtId="0" fontId="1" fillId="3" borderId="8" xfId="0" applyFont="1" applyFill="1" applyBorder="1" applyProtection="1"/>
    <xf numFmtId="0" fontId="0" fillId="3" borderId="15" xfId="0" applyFill="1" applyBorder="1"/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68" fontId="3" fillId="0" borderId="1" xfId="0" applyNumberFormat="1" applyFont="1" applyFill="1" applyBorder="1" applyAlignment="1" applyProtection="1">
      <alignment horizontal="center" vertical="center"/>
    </xf>
    <xf numFmtId="164" fontId="1" fillId="6" borderId="6" xfId="0" applyNumberFormat="1" applyFont="1" applyFill="1" applyBorder="1" applyAlignment="1" applyProtection="1">
      <alignment horizontal="center"/>
    </xf>
    <xf numFmtId="164" fontId="1" fillId="7" borderId="6" xfId="0" applyNumberFormat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165" fontId="3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24" borderId="21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3" borderId="37" xfId="0" applyFill="1" applyBorder="1" applyAlignment="1" applyProtection="1">
      <alignment horizontal="center" vertical="center"/>
      <protection hidden="1"/>
    </xf>
    <xf numFmtId="167" fontId="26" fillId="3" borderId="1" xfId="0" applyNumberFormat="1" applyFont="1" applyFill="1" applyBorder="1" applyAlignment="1" applyProtection="1">
      <alignment horizontal="center" vertical="center"/>
      <protection hidden="1"/>
    </xf>
    <xf numFmtId="167" fontId="26" fillId="3" borderId="50" xfId="0" applyNumberFormat="1" applyFont="1" applyFill="1" applyBorder="1" applyAlignment="1" applyProtection="1">
      <alignment horizontal="center" vertical="center"/>
      <protection hidden="1"/>
    </xf>
    <xf numFmtId="0" fontId="18" fillId="3" borderId="34" xfId="0" applyFont="1" applyFill="1" applyBorder="1" applyAlignment="1" applyProtection="1">
      <alignment horizontal="center" vertical="center"/>
      <protection hidden="1"/>
    </xf>
    <xf numFmtId="0" fontId="1" fillId="25" borderId="9" xfId="0" applyFont="1" applyFill="1" applyBorder="1" applyAlignment="1" applyProtection="1">
      <alignment horizontal="center" vertical="center"/>
      <protection hidden="1"/>
    </xf>
    <xf numFmtId="164" fontId="0" fillId="25" borderId="1" xfId="0" applyNumberFormat="1" applyFill="1" applyBorder="1" applyAlignment="1" applyProtection="1">
      <alignment horizontal="right" vertical="center"/>
      <protection hidden="1"/>
    </xf>
    <xf numFmtId="164" fontId="17" fillId="3" borderId="35" xfId="0" applyNumberFormat="1" applyFont="1" applyFill="1" applyBorder="1" applyProtection="1">
      <protection hidden="1"/>
    </xf>
    <xf numFmtId="164" fontId="0" fillId="25" borderId="50" xfId="0" applyNumberFormat="1" applyFill="1" applyBorder="1" applyAlignment="1" applyProtection="1">
      <alignment horizontal="right" vertical="center"/>
      <protection hidden="1"/>
    </xf>
    <xf numFmtId="0" fontId="1" fillId="17" borderId="9" xfId="0" applyFont="1" applyFill="1" applyBorder="1" applyAlignment="1" applyProtection="1">
      <alignment horizontal="center" vertical="center"/>
      <protection hidden="1"/>
    </xf>
    <xf numFmtId="164" fontId="0" fillId="17" borderId="1" xfId="0" applyNumberFormat="1" applyFill="1" applyBorder="1" applyAlignment="1" applyProtection="1">
      <alignment horizontal="right" vertical="center"/>
      <protection hidden="1"/>
    </xf>
    <xf numFmtId="164" fontId="0" fillId="17" borderId="50" xfId="0" applyNumberFormat="1" applyFill="1" applyBorder="1" applyAlignment="1" applyProtection="1">
      <alignment horizontal="right" vertical="center"/>
      <protection hidden="1"/>
    </xf>
    <xf numFmtId="0" fontId="1" fillId="18" borderId="9" xfId="0" applyFont="1" applyFill="1" applyBorder="1" applyAlignment="1" applyProtection="1">
      <alignment horizontal="center" vertical="center"/>
      <protection hidden="1"/>
    </xf>
    <xf numFmtId="164" fontId="0" fillId="18" borderId="1" xfId="0" applyNumberFormat="1" applyFill="1" applyBorder="1" applyAlignment="1" applyProtection="1">
      <alignment horizontal="right" vertical="center"/>
      <protection hidden="1"/>
    </xf>
    <xf numFmtId="164" fontId="0" fillId="18" borderId="50" xfId="0" applyNumberFormat="1" applyFill="1" applyBorder="1" applyAlignment="1" applyProtection="1">
      <alignment horizontal="right" vertical="center"/>
      <protection hidden="1"/>
    </xf>
    <xf numFmtId="0" fontId="1" fillId="18" borderId="11" xfId="0" applyFont="1" applyFill="1" applyBorder="1" applyAlignment="1" applyProtection="1">
      <alignment horizontal="center" vertical="center"/>
      <protection hidden="1"/>
    </xf>
    <xf numFmtId="164" fontId="0" fillId="18" borderId="3" xfId="0" applyNumberFormat="1" applyFill="1" applyBorder="1" applyAlignment="1" applyProtection="1">
      <alignment horizontal="right" vertical="center"/>
      <protection hidden="1"/>
    </xf>
    <xf numFmtId="164" fontId="0" fillId="18" borderId="53" xfId="0" applyNumberFormat="1" applyFill="1" applyBorder="1" applyAlignment="1" applyProtection="1">
      <alignment horizontal="right" vertical="center"/>
      <protection hidden="1"/>
    </xf>
    <xf numFmtId="164" fontId="17" fillId="3" borderId="36" xfId="0" applyNumberFormat="1" applyFont="1" applyFill="1" applyBorder="1" applyProtection="1">
      <protection hidden="1"/>
    </xf>
    <xf numFmtId="0" fontId="18" fillId="3" borderId="5" xfId="0" applyFont="1" applyFill="1" applyBorder="1" applyAlignment="1" applyProtection="1">
      <alignment horizontal="center" vertical="center"/>
      <protection hidden="1"/>
    </xf>
    <xf numFmtId="164" fontId="17" fillId="3" borderId="31" xfId="0" applyNumberFormat="1" applyFont="1" applyFill="1" applyBorder="1" applyAlignment="1" applyProtection="1">
      <alignment horizontal="left" vertical="center"/>
      <protection hidden="1"/>
    </xf>
    <xf numFmtId="164" fontId="17" fillId="3" borderId="6" xfId="0" applyNumberFormat="1" applyFont="1" applyFill="1" applyBorder="1" applyAlignment="1" applyProtection="1">
      <alignment horizontal="left" vertical="center"/>
      <protection hidden="1"/>
    </xf>
    <xf numFmtId="164" fontId="19" fillId="3" borderId="2" xfId="0" applyNumberFormat="1" applyFont="1" applyFill="1" applyBorder="1" applyAlignment="1" applyProtection="1">
      <alignment horizontal="right" vertical="center"/>
      <protection hidden="1"/>
    </xf>
    <xf numFmtId="164" fontId="22" fillId="3" borderId="21" xfId="0" applyNumberFormat="1" applyFont="1" applyFill="1" applyBorder="1" applyProtection="1">
      <protection hidden="1"/>
    </xf>
    <xf numFmtId="164" fontId="23" fillId="3" borderId="10" xfId="0" applyNumberFormat="1" applyFont="1" applyFill="1" applyBorder="1" applyProtection="1">
      <protection hidden="1"/>
    </xf>
    <xf numFmtId="164" fontId="24" fillId="3" borderId="24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0" fillId="0" borderId="34" xfId="0" applyBorder="1" applyAlignment="1" applyProtection="1">
      <alignment horizontal="center" vertical="center"/>
      <protection hidden="1"/>
    </xf>
    <xf numFmtId="0" fontId="0" fillId="0" borderId="35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21" borderId="0" xfId="0" applyFill="1" applyProtection="1">
      <protection hidden="1"/>
    </xf>
    <xf numFmtId="0" fontId="11" fillId="20" borderId="2" xfId="0" applyFont="1" applyFill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0" fontId="0" fillId="0" borderId="54" xfId="0" applyBorder="1" applyAlignment="1" applyProtection="1">
      <alignment horizontal="center" vertical="center" wrapText="1"/>
      <protection hidden="1"/>
    </xf>
    <xf numFmtId="0" fontId="0" fillId="0" borderId="41" xfId="0" applyBorder="1" applyAlignment="1" applyProtection="1">
      <alignment horizontal="center" vertical="center" wrapText="1"/>
      <protection hidden="1"/>
    </xf>
    <xf numFmtId="0" fontId="0" fillId="0" borderId="43" xfId="0" applyBorder="1" applyAlignment="1" applyProtection="1">
      <alignment horizontal="center" vertical="center" wrapText="1"/>
      <protection hidden="1"/>
    </xf>
    <xf numFmtId="0" fontId="0" fillId="16" borderId="28" xfId="0" applyFill="1" applyBorder="1" applyProtection="1">
      <protection hidden="1"/>
    </xf>
    <xf numFmtId="0" fontId="0" fillId="16" borderId="34" xfId="0" applyFill="1" applyBorder="1" applyAlignment="1" applyProtection="1">
      <alignment horizontal="center" vertical="center"/>
      <protection hidden="1"/>
    </xf>
    <xf numFmtId="164" fontId="0" fillId="16" borderId="19" xfId="0" applyNumberFormat="1" applyFill="1" applyBorder="1" applyAlignment="1" applyProtection="1">
      <alignment horizontal="center" vertical="center"/>
      <protection hidden="1"/>
    </xf>
    <xf numFmtId="164" fontId="0" fillId="16" borderId="21" xfId="0" applyNumberFormat="1" applyFill="1" applyBorder="1" applyAlignment="1" applyProtection="1">
      <alignment horizontal="center" vertical="center"/>
      <protection hidden="1"/>
    </xf>
    <xf numFmtId="0" fontId="0" fillId="16" borderId="25" xfId="0" applyFill="1" applyBorder="1" applyProtection="1">
      <protection hidden="1"/>
    </xf>
    <xf numFmtId="0" fontId="0" fillId="16" borderId="35" xfId="0" applyFill="1" applyBorder="1" applyAlignment="1" applyProtection="1">
      <alignment horizontal="center" vertical="center"/>
      <protection hidden="1"/>
    </xf>
    <xf numFmtId="164" fontId="0" fillId="16" borderId="9" xfId="0" applyNumberFormat="1" applyFill="1" applyBorder="1" applyAlignment="1" applyProtection="1">
      <alignment horizontal="center" vertical="center"/>
      <protection hidden="1"/>
    </xf>
    <xf numFmtId="164" fontId="0" fillId="16" borderId="10" xfId="0" applyNumberFormat="1" applyFill="1" applyBorder="1" applyAlignment="1" applyProtection="1">
      <alignment horizontal="center" vertical="center"/>
      <protection hidden="1"/>
    </xf>
    <xf numFmtId="0" fontId="0" fillId="16" borderId="66" xfId="0" applyFill="1" applyBorder="1" applyProtection="1">
      <protection hidden="1"/>
    </xf>
    <xf numFmtId="0" fontId="0" fillId="16" borderId="36" xfId="0" applyFill="1" applyBorder="1" applyAlignment="1" applyProtection="1">
      <alignment horizontal="center" vertical="center"/>
      <protection hidden="1"/>
    </xf>
    <xf numFmtId="164" fontId="0" fillId="16" borderId="22" xfId="0" applyNumberFormat="1" applyFill="1" applyBorder="1" applyAlignment="1" applyProtection="1">
      <alignment horizontal="center" vertical="center"/>
      <protection hidden="1"/>
    </xf>
    <xf numFmtId="164" fontId="0" fillId="16" borderId="24" xfId="0" applyNumberFormat="1" applyFill="1" applyBorder="1" applyAlignment="1" applyProtection="1">
      <alignment horizontal="center" vertical="center"/>
      <protection hidden="1"/>
    </xf>
    <xf numFmtId="0" fontId="0" fillId="12" borderId="28" xfId="0" applyFill="1" applyBorder="1" applyProtection="1">
      <protection hidden="1"/>
    </xf>
    <xf numFmtId="0" fontId="0" fillId="12" borderId="34" xfId="0" applyFill="1" applyBorder="1" applyAlignment="1" applyProtection="1">
      <alignment horizontal="center" vertical="center"/>
      <protection hidden="1"/>
    </xf>
    <xf numFmtId="164" fontId="0" fillId="12" borderId="19" xfId="0" applyNumberFormat="1" applyFill="1" applyBorder="1" applyAlignment="1" applyProtection="1">
      <alignment horizontal="center" vertical="center"/>
      <protection hidden="1"/>
    </xf>
    <xf numFmtId="164" fontId="0" fillId="12" borderId="21" xfId="0" applyNumberFormat="1" applyFill="1" applyBorder="1" applyAlignment="1" applyProtection="1">
      <alignment horizontal="center" vertical="center"/>
      <protection hidden="1"/>
    </xf>
    <xf numFmtId="0" fontId="0" fillId="12" borderId="25" xfId="0" applyFill="1" applyBorder="1" applyProtection="1">
      <protection hidden="1"/>
    </xf>
    <xf numFmtId="0" fontId="0" fillId="12" borderId="35" xfId="0" applyFill="1" applyBorder="1" applyAlignment="1" applyProtection="1">
      <alignment horizontal="center" vertical="center"/>
      <protection hidden="1"/>
    </xf>
    <xf numFmtId="164" fontId="0" fillId="12" borderId="9" xfId="0" applyNumberFormat="1" applyFill="1" applyBorder="1" applyAlignment="1" applyProtection="1">
      <alignment horizontal="center" vertical="center"/>
      <protection hidden="1"/>
    </xf>
    <xf numFmtId="164" fontId="0" fillId="12" borderId="10" xfId="0" applyNumberFormat="1" applyFill="1" applyBorder="1" applyAlignment="1" applyProtection="1">
      <alignment horizontal="center" vertical="center"/>
      <protection hidden="1"/>
    </xf>
    <xf numFmtId="0" fontId="0" fillId="12" borderId="66" xfId="0" applyFill="1" applyBorder="1" applyProtection="1">
      <protection hidden="1"/>
    </xf>
    <xf numFmtId="0" fontId="0" fillId="12" borderId="36" xfId="0" applyFill="1" applyBorder="1" applyAlignment="1" applyProtection="1">
      <alignment horizontal="center" vertical="center"/>
      <protection hidden="1"/>
    </xf>
    <xf numFmtId="164" fontId="0" fillId="12" borderId="22" xfId="0" applyNumberFormat="1" applyFill="1" applyBorder="1" applyAlignment="1" applyProtection="1">
      <alignment horizontal="center" vertical="center"/>
      <protection hidden="1"/>
    </xf>
    <xf numFmtId="164" fontId="0" fillId="12" borderId="24" xfId="0" applyNumberFormat="1" applyFill="1" applyBorder="1" applyAlignment="1" applyProtection="1">
      <alignment horizontal="center" vertical="center"/>
      <protection hidden="1"/>
    </xf>
    <xf numFmtId="0" fontId="0" fillId="17" borderId="28" xfId="0" applyFill="1" applyBorder="1" applyProtection="1">
      <protection hidden="1"/>
    </xf>
    <xf numFmtId="0" fontId="0" fillId="17" borderId="34" xfId="0" applyFill="1" applyBorder="1" applyAlignment="1" applyProtection="1">
      <alignment horizontal="center" vertical="center"/>
      <protection hidden="1"/>
    </xf>
    <xf numFmtId="164" fontId="0" fillId="17" borderId="19" xfId="0" applyNumberFormat="1" applyFill="1" applyBorder="1" applyAlignment="1" applyProtection="1">
      <alignment horizontal="center" vertical="center"/>
      <protection hidden="1"/>
    </xf>
    <xf numFmtId="164" fontId="0" fillId="17" borderId="21" xfId="0" applyNumberFormat="1" applyFill="1" applyBorder="1" applyAlignment="1" applyProtection="1">
      <alignment horizontal="center" vertical="center"/>
      <protection hidden="1"/>
    </xf>
    <xf numFmtId="0" fontId="0" fillId="17" borderId="66" xfId="0" applyFill="1" applyBorder="1" applyProtection="1">
      <protection hidden="1"/>
    </xf>
    <xf numFmtId="0" fontId="0" fillId="17" borderId="36" xfId="0" applyFill="1" applyBorder="1" applyAlignment="1" applyProtection="1">
      <alignment horizontal="center" vertical="center"/>
      <protection hidden="1"/>
    </xf>
    <xf numFmtId="164" fontId="0" fillId="17" borderId="22" xfId="0" applyNumberFormat="1" applyFill="1" applyBorder="1" applyAlignment="1" applyProtection="1">
      <alignment horizontal="center" vertical="center"/>
      <protection hidden="1"/>
    </xf>
    <xf numFmtId="164" fontId="0" fillId="17" borderId="24" xfId="0" applyNumberFormat="1" applyFill="1" applyBorder="1" applyAlignment="1" applyProtection="1">
      <alignment horizontal="center" vertical="center"/>
      <protection hidden="1"/>
    </xf>
    <xf numFmtId="0" fontId="0" fillId="18" borderId="28" xfId="0" applyFill="1" applyBorder="1" applyProtection="1">
      <protection hidden="1"/>
    </xf>
    <xf numFmtId="0" fontId="0" fillId="18" borderId="34" xfId="0" applyFill="1" applyBorder="1" applyAlignment="1" applyProtection="1">
      <alignment horizontal="center" vertical="center"/>
      <protection hidden="1"/>
    </xf>
    <xf numFmtId="164" fontId="0" fillId="18" borderId="19" xfId="0" applyNumberFormat="1" applyFill="1" applyBorder="1" applyAlignment="1" applyProtection="1">
      <alignment horizontal="center" vertical="center"/>
      <protection hidden="1"/>
    </xf>
    <xf numFmtId="164" fontId="0" fillId="18" borderId="21" xfId="0" applyNumberFormat="1" applyFill="1" applyBorder="1" applyAlignment="1" applyProtection="1">
      <alignment horizontal="center" vertical="center"/>
      <protection hidden="1"/>
    </xf>
    <xf numFmtId="0" fontId="0" fillId="18" borderId="25" xfId="0" applyFill="1" applyBorder="1" applyProtection="1">
      <protection hidden="1"/>
    </xf>
    <xf numFmtId="0" fontId="0" fillId="18" borderId="35" xfId="0" applyFill="1" applyBorder="1" applyAlignment="1" applyProtection="1">
      <alignment horizontal="center" vertical="center"/>
      <protection hidden="1"/>
    </xf>
    <xf numFmtId="164" fontId="0" fillId="18" borderId="9" xfId="0" applyNumberFormat="1" applyFill="1" applyBorder="1" applyAlignment="1" applyProtection="1">
      <alignment horizontal="center" vertical="center"/>
      <protection hidden="1"/>
    </xf>
    <xf numFmtId="164" fontId="0" fillId="18" borderId="10" xfId="0" applyNumberFormat="1" applyFill="1" applyBorder="1" applyAlignment="1" applyProtection="1">
      <alignment horizontal="center" vertical="center"/>
      <protection hidden="1"/>
    </xf>
    <xf numFmtId="0" fontId="0" fillId="18" borderId="66" xfId="0" applyFill="1" applyBorder="1" applyProtection="1">
      <protection hidden="1"/>
    </xf>
    <xf numFmtId="0" fontId="0" fillId="18" borderId="36" xfId="0" applyFill="1" applyBorder="1" applyAlignment="1" applyProtection="1">
      <alignment horizontal="center" vertical="center"/>
      <protection hidden="1"/>
    </xf>
    <xf numFmtId="164" fontId="0" fillId="18" borderId="22" xfId="0" applyNumberFormat="1" applyFill="1" applyBorder="1" applyAlignment="1" applyProtection="1">
      <alignment horizontal="center" vertical="center"/>
      <protection hidden="1"/>
    </xf>
    <xf numFmtId="164" fontId="0" fillId="18" borderId="24" xfId="0" applyNumberFormat="1" applyFill="1" applyBorder="1" applyAlignment="1" applyProtection="1">
      <alignment horizontal="center" vertical="center"/>
      <protection hidden="1"/>
    </xf>
    <xf numFmtId="164" fontId="0" fillId="0" borderId="2" xfId="0" applyNumberFormat="1" applyBorder="1" applyAlignment="1" applyProtection="1">
      <alignment horizontal="center" vertical="center"/>
      <protection hidden="1"/>
    </xf>
    <xf numFmtId="167" fontId="0" fillId="6" borderId="9" xfId="0" applyNumberFormat="1" applyFill="1" applyBorder="1" applyAlignment="1" applyProtection="1">
      <alignment horizontal="center"/>
    </xf>
    <xf numFmtId="164" fontId="0" fillId="6" borderId="22" xfId="0" applyNumberFormat="1" applyFill="1" applyBorder="1" applyAlignment="1" applyProtection="1">
      <alignment horizontal="center" vertical="center"/>
    </xf>
    <xf numFmtId="164" fontId="0" fillId="7" borderId="22" xfId="0" applyNumberFormat="1" applyFill="1" applyBorder="1" applyAlignment="1" applyProtection="1">
      <alignment horizontal="center" vertical="center"/>
    </xf>
    <xf numFmtId="167" fontId="0" fillId="6" borderId="11" xfId="0" applyNumberForma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7" fontId="0" fillId="9" borderId="9" xfId="0" applyNumberFormat="1" applyFill="1" applyBorder="1" applyAlignment="1" applyProtection="1">
      <alignment horizontal="center"/>
    </xf>
    <xf numFmtId="10" fontId="0" fillId="0" borderId="10" xfId="0" applyNumberFormat="1" applyBorder="1" applyAlignment="1">
      <alignment horizontal="center" vertical="center"/>
    </xf>
    <xf numFmtId="167" fontId="0" fillId="9" borderId="22" xfId="0" applyNumberFormat="1" applyFill="1" applyBorder="1" applyAlignment="1" applyProtection="1">
      <alignment horizontal="center"/>
    </xf>
    <xf numFmtId="0" fontId="0" fillId="0" borderId="23" xfId="0" applyBorder="1" applyAlignment="1">
      <alignment horizontal="center" vertical="center"/>
    </xf>
    <xf numFmtId="10" fontId="0" fillId="0" borderId="24" xfId="0" applyNumberFormat="1" applyBorder="1" applyAlignment="1">
      <alignment horizontal="center" vertical="center"/>
    </xf>
    <xf numFmtId="167" fontId="0" fillId="9" borderId="19" xfId="0" applyNumberFormat="1" applyFill="1" applyBorder="1" applyAlignment="1" applyProtection="1">
      <alignment horizontal="center"/>
    </xf>
    <xf numFmtId="0" fontId="0" fillId="0" borderId="20" xfId="0" applyBorder="1" applyAlignment="1">
      <alignment horizontal="center" vertical="center"/>
    </xf>
    <xf numFmtId="10" fontId="0" fillId="0" borderId="21" xfId="0" applyNumberForma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1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10" fontId="4" fillId="0" borderId="1" xfId="0" applyNumberFormat="1" applyFont="1" applyFill="1" applyBorder="1" applyAlignment="1" applyProtection="1">
      <alignment horizontal="center" vertical="center"/>
      <protection hidden="1"/>
    </xf>
    <xf numFmtId="164" fontId="4" fillId="0" borderId="1" xfId="0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 applyProtection="1">
      <alignment horizontal="center" vertical="center"/>
      <protection locked="0"/>
    </xf>
    <xf numFmtId="9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14" fontId="0" fillId="0" borderId="1" xfId="0" applyNumberFormat="1" applyBorder="1" applyAlignment="1" applyProtection="1">
      <alignment vertical="center"/>
      <protection locked="0"/>
    </xf>
    <xf numFmtId="14" fontId="0" fillId="0" borderId="23" xfId="0" applyNumberFormat="1" applyBorder="1" applyAlignment="1" applyProtection="1">
      <alignment vertical="center"/>
      <protection locked="0"/>
    </xf>
    <xf numFmtId="0" fontId="0" fillId="0" borderId="16" xfId="0" applyBorder="1" applyAlignment="1" applyProtection="1">
      <alignment horizontal="center" vertical="center"/>
    </xf>
    <xf numFmtId="164" fontId="0" fillId="0" borderId="2" xfId="0" applyNumberFormat="1" applyBorder="1" applyAlignment="1" applyProtection="1">
      <alignment horizontal="center" vertical="center"/>
    </xf>
    <xf numFmtId="14" fontId="2" fillId="0" borderId="50" xfId="0" applyNumberFormat="1" applyFont="1" applyBorder="1" applyAlignment="1" applyProtection="1">
      <alignment horizontal="center" vertical="center"/>
      <protection locked="0"/>
    </xf>
    <xf numFmtId="14" fontId="0" fillId="0" borderId="51" xfId="0" applyNumberFormat="1" applyBorder="1" applyAlignment="1" applyProtection="1">
      <alignment horizontal="center" vertical="center"/>
      <protection locked="0"/>
    </xf>
    <xf numFmtId="0" fontId="0" fillId="11" borderId="0" xfId="0" applyFill="1"/>
    <xf numFmtId="164" fontId="0" fillId="9" borderId="50" xfId="0" applyNumberFormat="1" applyFill="1" applyBorder="1" applyProtection="1">
      <protection locked="0"/>
    </xf>
    <xf numFmtId="164" fontId="0" fillId="14" borderId="10" xfId="0" applyNumberFormat="1" applyFill="1" applyBorder="1" applyProtection="1">
      <protection locked="0"/>
    </xf>
    <xf numFmtId="164" fontId="0" fillId="15" borderId="10" xfId="0" applyNumberFormat="1" applyFill="1" applyBorder="1" applyProtection="1">
      <protection locked="0"/>
    </xf>
    <xf numFmtId="164" fontId="0" fillId="16" borderId="34" xfId="0" applyNumberFormat="1" applyFill="1" applyBorder="1" applyAlignment="1" applyProtection="1">
      <alignment horizontal="center" vertical="center"/>
      <protection locked="0"/>
    </xf>
    <xf numFmtId="164" fontId="0" fillId="16" borderId="35" xfId="0" applyNumberFormat="1" applyFill="1" applyBorder="1" applyAlignment="1" applyProtection="1">
      <alignment horizontal="center" vertical="center"/>
      <protection locked="0"/>
    </xf>
    <xf numFmtId="164" fontId="0" fillId="16" borderId="36" xfId="0" applyNumberFormat="1" applyFill="1" applyBorder="1" applyAlignment="1" applyProtection="1">
      <alignment horizontal="center" vertical="center"/>
      <protection locked="0"/>
    </xf>
    <xf numFmtId="164" fontId="0" fillId="12" borderId="34" xfId="0" applyNumberFormat="1" applyFill="1" applyBorder="1" applyAlignment="1" applyProtection="1">
      <alignment horizontal="center" vertical="center"/>
      <protection locked="0"/>
    </xf>
    <xf numFmtId="164" fontId="0" fillId="12" borderId="35" xfId="0" applyNumberFormat="1" applyFill="1" applyBorder="1" applyAlignment="1" applyProtection="1">
      <alignment horizontal="center" vertical="center"/>
      <protection locked="0"/>
    </xf>
    <xf numFmtId="164" fontId="0" fillId="12" borderId="36" xfId="0" applyNumberFormat="1" applyFill="1" applyBorder="1" applyAlignment="1" applyProtection="1">
      <alignment horizontal="center" vertical="center"/>
      <protection locked="0"/>
    </xf>
    <xf numFmtId="164" fontId="0" fillId="17" borderId="34" xfId="0" applyNumberFormat="1" applyFill="1" applyBorder="1" applyAlignment="1" applyProtection="1">
      <alignment horizontal="center" vertical="center"/>
      <protection locked="0"/>
    </xf>
    <xf numFmtId="164" fontId="0" fillId="17" borderId="36" xfId="0" applyNumberFormat="1" applyFill="1" applyBorder="1" applyAlignment="1" applyProtection="1">
      <alignment horizontal="center" vertical="center"/>
      <protection locked="0"/>
    </xf>
    <xf numFmtId="164" fontId="0" fillId="18" borderId="34" xfId="0" applyNumberFormat="1" applyFill="1" applyBorder="1" applyAlignment="1" applyProtection="1">
      <alignment horizontal="center" vertical="center"/>
      <protection locked="0"/>
    </xf>
    <xf numFmtId="164" fontId="0" fillId="18" borderId="35" xfId="0" applyNumberFormat="1" applyFill="1" applyBorder="1" applyAlignment="1" applyProtection="1">
      <alignment horizontal="center" vertical="center"/>
      <protection locked="0"/>
    </xf>
    <xf numFmtId="164" fontId="0" fillId="18" borderId="36" xfId="0" applyNumberFormat="1" applyFill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48" xfId="0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0" fillId="15" borderId="22" xfId="0" applyFill="1" applyBorder="1" applyAlignment="1" applyProtection="1">
      <alignment horizontal="center" vertical="center"/>
      <protection hidden="1"/>
    </xf>
    <xf numFmtId="0" fontId="0" fillId="15" borderId="24" xfId="0" applyFill="1" applyBorder="1" applyAlignment="1" applyProtection="1">
      <alignment horizontal="center" vertical="center"/>
      <protection hidden="1"/>
    </xf>
    <xf numFmtId="0" fontId="0" fillId="26" borderId="22" xfId="0" applyFill="1" applyBorder="1" applyAlignment="1" applyProtection="1">
      <alignment horizontal="center" vertical="center"/>
      <protection hidden="1"/>
    </xf>
    <xf numFmtId="0" fontId="0" fillId="26" borderId="24" xfId="0" applyFill="1" applyBorder="1" applyAlignment="1" applyProtection="1">
      <alignment horizontal="center" vertical="center"/>
      <protection hidden="1"/>
    </xf>
    <xf numFmtId="0" fontId="0" fillId="15" borderId="5" xfId="0" applyFill="1" applyBorder="1" applyAlignment="1" applyProtection="1">
      <alignment horizontal="center" vertical="center"/>
      <protection hidden="1"/>
    </xf>
    <xf numFmtId="0" fontId="0" fillId="15" borderId="6" xfId="0" applyFill="1" applyBorder="1" applyAlignment="1" applyProtection="1">
      <alignment horizontal="center" vertical="center"/>
      <protection hidden="1"/>
    </xf>
    <xf numFmtId="10" fontId="0" fillId="26" borderId="5" xfId="0" applyNumberFormat="1" applyFill="1" applyBorder="1" applyAlignment="1" applyProtection="1">
      <alignment horizontal="center" vertical="center"/>
      <protection hidden="1"/>
    </xf>
    <xf numFmtId="10" fontId="0" fillId="26" borderId="6" xfId="0" applyNumberFormat="1" applyFill="1" applyBorder="1" applyAlignment="1" applyProtection="1">
      <alignment horizontal="center" vertical="center"/>
      <protection hidden="1"/>
    </xf>
    <xf numFmtId="164" fontId="3" fillId="0" borderId="1" xfId="0" quotePrefix="1" applyNumberFormat="1" applyFont="1" applyFill="1" applyBorder="1" applyAlignment="1" applyProtection="1">
      <alignment horizontal="center" vertical="center"/>
    </xf>
    <xf numFmtId="0" fontId="0" fillId="4" borderId="35" xfId="0" applyFill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53" xfId="0" applyBorder="1" applyAlignment="1" applyProtection="1">
      <alignment horizontal="center" vertical="center"/>
      <protection hidden="1"/>
    </xf>
    <xf numFmtId="0" fontId="0" fillId="24" borderId="11" xfId="0" applyFill="1" applyBorder="1" applyAlignment="1" applyProtection="1">
      <alignment horizontal="center" vertical="center"/>
      <protection hidden="1"/>
    </xf>
    <xf numFmtId="0" fontId="0" fillId="24" borderId="12" xfId="0" applyFill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56" xfId="0" applyBorder="1" applyAlignment="1" applyProtection="1">
      <alignment horizontal="center" vertical="center"/>
      <protection hidden="1"/>
    </xf>
    <xf numFmtId="0" fontId="0" fillId="0" borderId="45" xfId="0" applyBorder="1" applyAlignment="1" applyProtection="1">
      <alignment horizontal="center" vertical="center"/>
      <protection hidden="1"/>
    </xf>
    <xf numFmtId="0" fontId="0" fillId="0" borderId="72" xfId="0" applyBorder="1" applyAlignment="1" applyProtection="1">
      <alignment horizontal="center" vertical="center"/>
      <protection hidden="1"/>
    </xf>
    <xf numFmtId="0" fontId="0" fillId="24" borderId="45" xfId="0" applyFill="1" applyBorder="1" applyAlignment="1" applyProtection="1">
      <alignment horizontal="center" vertical="center"/>
      <protection hidden="1"/>
    </xf>
    <xf numFmtId="0" fontId="0" fillId="24" borderId="72" xfId="0" applyFill="1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locked="0"/>
    </xf>
    <xf numFmtId="0" fontId="0" fillId="24" borderId="20" xfId="0" applyFill="1" applyBorder="1" applyAlignment="1" applyProtection="1">
      <alignment horizontal="center" vertical="center"/>
      <protection locked="0"/>
    </xf>
    <xf numFmtId="0" fontId="5" fillId="27" borderId="0" xfId="0" applyFont="1" applyFill="1" applyBorder="1" applyAlignment="1" applyProtection="1">
      <alignment horizontal="center" vertical="center"/>
    </xf>
    <xf numFmtId="0" fontId="2" fillId="27" borderId="1" xfId="0" applyFont="1" applyFill="1" applyBorder="1" applyAlignment="1" applyProtection="1">
      <alignment horizontal="center" vertical="center"/>
      <protection hidden="1"/>
    </xf>
    <xf numFmtId="0" fontId="3" fillId="27" borderId="1" xfId="0" applyFont="1" applyFill="1" applyBorder="1" applyAlignment="1" applyProtection="1">
      <alignment horizontal="center" vertical="center"/>
      <protection hidden="1"/>
    </xf>
    <xf numFmtId="0" fontId="0" fillId="27" borderId="1" xfId="0" applyFont="1" applyFill="1" applyBorder="1" applyAlignment="1" applyProtection="1">
      <alignment horizontal="center" vertical="center" wrapText="1"/>
      <protection hidden="1"/>
    </xf>
    <xf numFmtId="164" fontId="0" fillId="0" borderId="52" xfId="0" applyNumberFormat="1" applyBorder="1" applyAlignment="1" applyProtection="1">
      <alignment vertical="center"/>
    </xf>
    <xf numFmtId="164" fontId="0" fillId="0" borderId="18" xfId="0" applyNumberFormat="1" applyBorder="1" applyAlignment="1" applyProtection="1">
      <alignment vertical="center"/>
    </xf>
    <xf numFmtId="164" fontId="0" fillId="11" borderId="2" xfId="0" applyNumberFormat="1" applyFill="1" applyBorder="1" applyAlignment="1" applyProtection="1">
      <alignment vertic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 wrapText="1"/>
      <protection hidden="1"/>
    </xf>
    <xf numFmtId="0" fontId="5" fillId="0" borderId="49" xfId="0" applyFont="1" applyBorder="1" applyAlignment="1" applyProtection="1">
      <alignment horizontal="center" vertical="center" wrapText="1"/>
      <protection hidden="1"/>
    </xf>
    <xf numFmtId="0" fontId="13" fillId="9" borderId="19" xfId="0" applyFont="1" applyFill="1" applyBorder="1" applyAlignment="1" applyProtection="1">
      <alignment horizontal="center" vertical="center" wrapText="1"/>
      <protection hidden="1"/>
    </xf>
    <xf numFmtId="0" fontId="13" fillId="9" borderId="20" xfId="0" applyFont="1" applyFill="1" applyBorder="1" applyAlignment="1" applyProtection="1">
      <alignment horizontal="center" vertical="center" wrapText="1"/>
      <protection hidden="1"/>
    </xf>
    <xf numFmtId="0" fontId="13" fillId="14" borderId="19" xfId="0" applyFont="1" applyFill="1" applyBorder="1" applyAlignment="1" applyProtection="1">
      <alignment horizontal="center" vertical="center" wrapText="1"/>
      <protection hidden="1"/>
    </xf>
    <xf numFmtId="0" fontId="13" fillId="14" borderId="20" xfId="0" applyFont="1" applyFill="1" applyBorder="1" applyAlignment="1" applyProtection="1">
      <alignment horizontal="center" vertical="center" wrapText="1"/>
      <protection hidden="1"/>
    </xf>
    <xf numFmtId="0" fontId="13" fillId="15" borderId="19" xfId="0" applyFont="1" applyFill="1" applyBorder="1" applyAlignment="1" applyProtection="1">
      <alignment horizontal="center" vertical="center" wrapText="1"/>
      <protection hidden="1"/>
    </xf>
    <xf numFmtId="0" fontId="13" fillId="15" borderId="20" xfId="0" applyFont="1" applyFill="1" applyBorder="1" applyAlignment="1" applyProtection="1">
      <alignment horizontal="center" vertical="center" wrapText="1"/>
      <protection hidden="1"/>
    </xf>
    <xf numFmtId="0" fontId="13" fillId="13" borderId="19" xfId="0" applyFont="1" applyFill="1" applyBorder="1" applyAlignment="1" applyProtection="1">
      <alignment horizontal="center" vertical="center" wrapText="1"/>
      <protection hidden="1"/>
    </xf>
    <xf numFmtId="0" fontId="13" fillId="13" borderId="20" xfId="0" applyFont="1" applyFill="1" applyBorder="1" applyAlignment="1" applyProtection="1">
      <alignment horizontal="center" vertical="center" wrapText="1"/>
      <protection hidden="1"/>
    </xf>
    <xf numFmtId="0" fontId="13" fillId="13" borderId="21" xfId="0" applyFont="1" applyFill="1" applyBorder="1" applyAlignment="1" applyProtection="1">
      <alignment horizontal="center" vertical="center" wrapText="1"/>
      <protection hidden="1"/>
    </xf>
    <xf numFmtId="164" fontId="0" fillId="0" borderId="1" xfId="0" applyNumberFormat="1" applyBorder="1" applyProtection="1">
      <protection hidden="1"/>
    </xf>
    <xf numFmtId="164" fontId="0" fillId="0" borderId="50" xfId="0" applyNumberFormat="1" applyBorder="1" applyProtection="1">
      <protection hidden="1"/>
    </xf>
    <xf numFmtId="164" fontId="0" fillId="9" borderId="9" xfId="0" applyNumberFormat="1" applyFill="1" applyBorder="1" applyProtection="1">
      <protection hidden="1"/>
    </xf>
    <xf numFmtId="164" fontId="0" fillId="9" borderId="1" xfId="0" applyNumberFormat="1" applyFill="1" applyBorder="1" applyProtection="1">
      <protection hidden="1"/>
    </xf>
    <xf numFmtId="164" fontId="0" fillId="14" borderId="9" xfId="0" applyNumberFormat="1" applyFill="1" applyBorder="1" applyProtection="1">
      <protection hidden="1"/>
    </xf>
    <xf numFmtId="164" fontId="0" fillId="14" borderId="1" xfId="0" applyNumberFormat="1" applyFill="1" applyBorder="1" applyProtection="1">
      <protection hidden="1"/>
    </xf>
    <xf numFmtId="164" fontId="0" fillId="15" borderId="9" xfId="0" applyNumberFormat="1" applyFill="1" applyBorder="1" applyProtection="1">
      <protection hidden="1"/>
    </xf>
    <xf numFmtId="164" fontId="0" fillId="15" borderId="1" xfId="0" applyNumberFormat="1" applyFill="1" applyBorder="1" applyProtection="1">
      <protection hidden="1"/>
    </xf>
    <xf numFmtId="164" fontId="0" fillId="13" borderId="9" xfId="0" applyNumberFormat="1" applyFill="1" applyBorder="1" applyProtection="1">
      <protection hidden="1"/>
    </xf>
    <xf numFmtId="164" fontId="0" fillId="13" borderId="1" xfId="0" applyNumberFormat="1" applyFill="1" applyBorder="1" applyProtection="1">
      <protection hidden="1"/>
    </xf>
    <xf numFmtId="164" fontId="0" fillId="13" borderId="10" xfId="0" applyNumberFormat="1" applyFill="1" applyBorder="1" applyProtection="1">
      <protection hidden="1"/>
    </xf>
    <xf numFmtId="164" fontId="0" fillId="0" borderId="3" xfId="0" applyNumberFormat="1" applyBorder="1" applyProtection="1">
      <protection hidden="1"/>
    </xf>
    <xf numFmtId="164" fontId="0" fillId="0" borderId="53" xfId="0" applyNumberFormat="1" applyBorder="1" applyProtection="1">
      <protection hidden="1"/>
    </xf>
    <xf numFmtId="164" fontId="0" fillId="9" borderId="11" xfId="0" applyNumberFormat="1" applyFill="1" applyBorder="1" applyProtection="1">
      <protection hidden="1"/>
    </xf>
    <xf numFmtId="164" fontId="0" fillId="9" borderId="3" xfId="0" applyNumberFormat="1" applyFill="1" applyBorder="1" applyProtection="1">
      <protection hidden="1"/>
    </xf>
    <xf numFmtId="164" fontId="0" fillId="14" borderId="11" xfId="0" applyNumberFormat="1" applyFill="1" applyBorder="1" applyProtection="1">
      <protection hidden="1"/>
    </xf>
    <xf numFmtId="164" fontId="0" fillId="14" borderId="3" xfId="0" applyNumberFormat="1" applyFill="1" applyBorder="1" applyProtection="1">
      <protection hidden="1"/>
    </xf>
    <xf numFmtId="164" fontId="0" fillId="15" borderId="11" xfId="0" applyNumberFormat="1" applyFill="1" applyBorder="1" applyProtection="1">
      <protection hidden="1"/>
    </xf>
    <xf numFmtId="164" fontId="0" fillId="15" borderId="3" xfId="0" applyNumberFormat="1" applyFill="1" applyBorder="1" applyProtection="1">
      <protection hidden="1"/>
    </xf>
    <xf numFmtId="164" fontId="0" fillId="13" borderId="11" xfId="0" applyNumberFormat="1" applyFill="1" applyBorder="1" applyProtection="1">
      <protection hidden="1"/>
    </xf>
    <xf numFmtId="164" fontId="0" fillId="13" borderId="3" xfId="0" applyNumberFormat="1" applyFill="1" applyBorder="1" applyProtection="1">
      <protection hidden="1"/>
    </xf>
    <xf numFmtId="164" fontId="0" fillId="13" borderId="12" xfId="0" applyNumberFormat="1" applyFill="1" applyBorder="1" applyProtection="1">
      <protection hidden="1"/>
    </xf>
    <xf numFmtId="164" fontId="0" fillId="0" borderId="31" xfId="0" applyNumberFormat="1" applyBorder="1" applyProtection="1">
      <protection hidden="1"/>
    </xf>
    <xf numFmtId="164" fontId="0" fillId="0" borderId="52" xfId="0" applyNumberFormat="1" applyBorder="1" applyProtection="1">
      <protection hidden="1"/>
    </xf>
    <xf numFmtId="164" fontId="0" fillId="9" borderId="5" xfId="0" applyNumberFormat="1" applyFill="1" applyBorder="1" applyProtection="1">
      <protection hidden="1"/>
    </xf>
    <xf numFmtId="164" fontId="0" fillId="9" borderId="31" xfId="0" applyNumberFormat="1" applyFill="1" applyBorder="1" applyProtection="1">
      <protection hidden="1"/>
    </xf>
    <xf numFmtId="164" fontId="0" fillId="14" borderId="5" xfId="0" applyNumberFormat="1" applyFill="1" applyBorder="1" applyProtection="1">
      <protection hidden="1"/>
    </xf>
    <xf numFmtId="164" fontId="0" fillId="14" borderId="31" xfId="0" applyNumberFormat="1" applyFill="1" applyBorder="1" applyProtection="1">
      <protection hidden="1"/>
    </xf>
    <xf numFmtId="164" fontId="0" fillId="15" borderId="5" xfId="0" applyNumberFormat="1" applyFill="1" applyBorder="1" applyProtection="1">
      <protection hidden="1"/>
    </xf>
    <xf numFmtId="164" fontId="0" fillId="15" borderId="31" xfId="0" applyNumberFormat="1" applyFill="1" applyBorder="1" applyProtection="1">
      <protection hidden="1"/>
    </xf>
    <xf numFmtId="164" fontId="0" fillId="13" borderId="5" xfId="0" applyNumberFormat="1" applyFill="1" applyBorder="1" applyProtection="1">
      <protection hidden="1"/>
    </xf>
    <xf numFmtId="164" fontId="0" fillId="13" borderId="31" xfId="0" applyNumberFormat="1" applyFill="1" applyBorder="1" applyProtection="1">
      <protection hidden="1"/>
    </xf>
    <xf numFmtId="164" fontId="0" fillId="13" borderId="6" xfId="0" applyNumberFormat="1" applyFill="1" applyBorder="1" applyProtection="1">
      <protection hidden="1"/>
    </xf>
    <xf numFmtId="164" fontId="0" fillId="0" borderId="20" xfId="0" applyNumberFormat="1" applyBorder="1" applyProtection="1">
      <protection hidden="1"/>
    </xf>
    <xf numFmtId="164" fontId="0" fillId="0" borderId="49" xfId="0" applyNumberFormat="1" applyBorder="1" applyProtection="1">
      <protection hidden="1"/>
    </xf>
    <xf numFmtId="164" fontId="0" fillId="9" borderId="19" xfId="0" applyNumberFormat="1" applyFill="1" applyBorder="1" applyProtection="1">
      <protection hidden="1"/>
    </xf>
    <xf numFmtId="164" fontId="0" fillId="9" borderId="42" xfId="0" applyNumberFormat="1" applyFill="1" applyBorder="1" applyProtection="1">
      <protection hidden="1"/>
    </xf>
    <xf numFmtId="164" fontId="0" fillId="9" borderId="21" xfId="0" applyNumberFormat="1" applyFill="1" applyBorder="1" applyProtection="1">
      <protection hidden="1"/>
    </xf>
    <xf numFmtId="164" fontId="0" fillId="14" borderId="41" xfId="0" applyNumberFormat="1" applyFill="1" applyBorder="1" applyProtection="1">
      <protection hidden="1"/>
    </xf>
    <xf numFmtId="164" fontId="0" fillId="14" borderId="42" xfId="0" applyNumberFormat="1" applyFill="1" applyBorder="1" applyProtection="1">
      <protection hidden="1"/>
    </xf>
    <xf numFmtId="164" fontId="0" fillId="14" borderId="21" xfId="0" applyNumberFormat="1" applyFill="1" applyBorder="1" applyProtection="1">
      <protection hidden="1"/>
    </xf>
    <xf numFmtId="164" fontId="0" fillId="15" borderId="41" xfId="0" applyNumberFormat="1" applyFill="1" applyBorder="1" applyProtection="1">
      <protection hidden="1"/>
    </xf>
    <xf numFmtId="164" fontId="0" fillId="15" borderId="42" xfId="0" applyNumberFormat="1" applyFill="1" applyBorder="1" applyProtection="1">
      <protection hidden="1"/>
    </xf>
    <xf numFmtId="164" fontId="0" fillId="15" borderId="21" xfId="0" applyNumberFormat="1" applyFill="1" applyBorder="1" applyProtection="1">
      <protection hidden="1"/>
    </xf>
    <xf numFmtId="164" fontId="0" fillId="13" borderId="41" xfId="0" applyNumberFormat="1" applyFill="1" applyBorder="1" applyProtection="1">
      <protection hidden="1"/>
    </xf>
    <xf numFmtId="164" fontId="0" fillId="13" borderId="42" xfId="0" applyNumberFormat="1" applyFill="1" applyBorder="1" applyProtection="1">
      <protection hidden="1"/>
    </xf>
    <xf numFmtId="164" fontId="0" fillId="13" borderId="21" xfId="0" applyNumberFormat="1" applyFill="1" applyBorder="1" applyProtection="1">
      <protection hidden="1"/>
    </xf>
    <xf numFmtId="164" fontId="0" fillId="0" borderId="73" xfId="0" applyNumberFormat="1" applyBorder="1" applyProtection="1">
      <protection hidden="1"/>
    </xf>
    <xf numFmtId="164" fontId="0" fillId="0" borderId="74" xfId="0" applyNumberFormat="1" applyBorder="1" applyProtection="1">
      <protection hidden="1"/>
    </xf>
    <xf numFmtId="164" fontId="0" fillId="9" borderId="45" xfId="0" applyNumberFormat="1" applyFill="1" applyBorder="1" applyProtection="1">
      <protection hidden="1"/>
    </xf>
    <xf numFmtId="164" fontId="0" fillId="9" borderId="23" xfId="0" applyNumberFormat="1" applyFill="1" applyBorder="1" applyProtection="1">
      <protection hidden="1"/>
    </xf>
    <xf numFmtId="164" fontId="0" fillId="9" borderId="24" xfId="0" applyNumberFormat="1" applyFill="1" applyBorder="1" applyProtection="1">
      <protection hidden="1"/>
    </xf>
    <xf numFmtId="164" fontId="0" fillId="14" borderId="22" xfId="0" applyNumberFormat="1" applyFill="1" applyBorder="1" applyProtection="1">
      <protection hidden="1"/>
    </xf>
    <xf numFmtId="164" fontId="0" fillId="14" borderId="23" xfId="0" applyNumberFormat="1" applyFill="1" applyBorder="1" applyProtection="1">
      <protection hidden="1"/>
    </xf>
    <xf numFmtId="164" fontId="0" fillId="14" borderId="24" xfId="0" applyNumberFormat="1" applyFill="1" applyBorder="1" applyProtection="1">
      <protection hidden="1"/>
    </xf>
    <xf numFmtId="164" fontId="0" fillId="15" borderId="22" xfId="0" applyNumberFormat="1" applyFill="1" applyBorder="1" applyProtection="1">
      <protection hidden="1"/>
    </xf>
    <xf numFmtId="164" fontId="0" fillId="15" borderId="23" xfId="0" applyNumberFormat="1" applyFill="1" applyBorder="1" applyProtection="1">
      <protection hidden="1"/>
    </xf>
    <xf numFmtId="164" fontId="0" fillId="15" borderId="24" xfId="0" applyNumberFormat="1" applyFill="1" applyBorder="1" applyProtection="1">
      <protection hidden="1"/>
    </xf>
    <xf numFmtId="164" fontId="0" fillId="13" borderId="22" xfId="0" applyNumberFormat="1" applyFill="1" applyBorder="1" applyProtection="1">
      <protection hidden="1"/>
    </xf>
    <xf numFmtId="164" fontId="0" fillId="13" borderId="23" xfId="0" applyNumberFormat="1" applyFill="1" applyBorder="1" applyProtection="1">
      <protection hidden="1"/>
    </xf>
    <xf numFmtId="164" fontId="0" fillId="13" borderId="24" xfId="0" applyNumberFormat="1" applyFill="1" applyBorder="1" applyProtection="1">
      <protection hidden="1"/>
    </xf>
    <xf numFmtId="0" fontId="29" fillId="27" borderId="23" xfId="0" applyFont="1" applyFill="1" applyBorder="1" applyAlignment="1" applyProtection="1">
      <alignment horizontal="center" vertical="center"/>
      <protection hidden="1"/>
    </xf>
    <xf numFmtId="0" fontId="29" fillId="0" borderId="23" xfId="0" applyFont="1" applyFill="1" applyBorder="1" applyAlignment="1" applyProtection="1">
      <alignment horizontal="center" vertical="center"/>
      <protection hidden="1"/>
    </xf>
    <xf numFmtId="0" fontId="29" fillId="0" borderId="22" xfId="0" applyFont="1" applyBorder="1" applyAlignment="1" applyProtection="1">
      <alignment horizontal="center" vertical="center"/>
      <protection hidden="1"/>
    </xf>
    <xf numFmtId="0" fontId="19" fillId="0" borderId="23" xfId="0" applyFont="1" applyBorder="1" applyAlignment="1" applyProtection="1">
      <alignment horizontal="center" vertical="center"/>
      <protection hidden="1"/>
    </xf>
    <xf numFmtId="0" fontId="19" fillId="27" borderId="23" xfId="0" applyFont="1" applyFill="1" applyBorder="1" applyAlignment="1" applyProtection="1">
      <alignment horizontal="center" vertical="center"/>
      <protection hidden="1"/>
    </xf>
    <xf numFmtId="0" fontId="19" fillId="0" borderId="23" xfId="0" applyFont="1" applyFill="1" applyBorder="1" applyAlignment="1" applyProtection="1">
      <alignment horizontal="center" vertical="center"/>
      <protection hidden="1"/>
    </xf>
    <xf numFmtId="0" fontId="19" fillId="27" borderId="24" xfId="0" applyFont="1" applyFill="1" applyBorder="1" applyAlignment="1" applyProtection="1">
      <alignment horizontal="center" vertical="center"/>
      <protection hidden="1"/>
    </xf>
    <xf numFmtId="0" fontId="0" fillId="11" borderId="16" xfId="0" applyFill="1" applyBorder="1" applyAlignment="1" applyProtection="1">
      <alignment horizontal="center"/>
      <protection hidden="1"/>
    </xf>
    <xf numFmtId="0" fontId="0" fillId="11" borderId="17" xfId="0" applyFill="1" applyBorder="1" applyAlignment="1" applyProtection="1">
      <alignment horizontal="center"/>
      <protection hidden="1"/>
    </xf>
    <xf numFmtId="0" fontId="0" fillId="11" borderId="18" xfId="0" applyFill="1" applyBorder="1" applyAlignment="1" applyProtection="1">
      <alignment horizontal="center"/>
      <protection hidden="1"/>
    </xf>
    <xf numFmtId="0" fontId="0" fillId="0" borderId="19" xfId="0" applyFont="1" applyFill="1" applyBorder="1" applyAlignment="1" applyProtection="1">
      <alignment horizontal="center" vertical="center"/>
      <protection hidden="1"/>
    </xf>
    <xf numFmtId="0" fontId="0" fillId="0" borderId="20" xfId="0" applyFont="1" applyFill="1" applyBorder="1" applyAlignment="1" applyProtection="1">
      <alignment horizontal="center" vertical="center"/>
      <protection hidden="1"/>
    </xf>
    <xf numFmtId="0" fontId="0" fillId="0" borderId="22" xfId="0" applyFont="1" applyFill="1" applyBorder="1" applyAlignment="1" applyProtection="1">
      <alignment horizontal="center" vertical="center"/>
      <protection hidden="1"/>
    </xf>
    <xf numFmtId="0" fontId="0" fillId="0" borderId="23" xfId="0" applyFont="1" applyFill="1" applyBorder="1" applyAlignment="1" applyProtection="1">
      <alignment horizontal="center" vertical="center"/>
      <protection hidden="1"/>
    </xf>
    <xf numFmtId="0" fontId="27" fillId="28" borderId="7" xfId="0" applyFont="1" applyFill="1" applyBorder="1" applyAlignment="1" applyProtection="1">
      <alignment horizontal="center" vertical="center" wrapText="1"/>
    </xf>
    <xf numFmtId="0" fontId="27" fillId="28" borderId="8" xfId="0" applyFont="1" applyFill="1" applyBorder="1" applyAlignment="1" applyProtection="1">
      <alignment horizontal="center" vertical="center" wrapText="1"/>
    </xf>
    <xf numFmtId="0" fontId="27" fillId="28" borderId="0" xfId="0" applyFont="1" applyFill="1" applyBorder="1" applyAlignment="1" applyProtection="1">
      <alignment horizontal="center" vertical="center" wrapText="1"/>
    </xf>
    <xf numFmtId="0" fontId="27" fillId="28" borderId="38" xfId="0" applyFont="1" applyFill="1" applyBorder="1" applyAlignment="1" applyProtection="1">
      <alignment horizontal="center" vertical="center" wrapText="1"/>
    </xf>
    <xf numFmtId="0" fontId="27" fillId="28" borderId="37" xfId="0" applyFont="1" applyFill="1" applyBorder="1" applyAlignment="1" applyProtection="1">
      <alignment horizontal="center" vertical="center" wrapText="1"/>
    </xf>
    <xf numFmtId="0" fontId="27" fillId="28" borderId="39" xfId="0" applyFont="1" applyFill="1" applyBorder="1" applyAlignment="1" applyProtection="1">
      <alignment horizontal="center" vertical="center" wrapText="1"/>
    </xf>
    <xf numFmtId="0" fontId="27" fillId="28" borderId="15" xfId="0" applyFont="1" applyFill="1" applyBorder="1" applyAlignment="1" applyProtection="1">
      <alignment horizontal="center" vertical="center" wrapText="1"/>
    </xf>
    <xf numFmtId="0" fontId="27" fillId="28" borderId="40" xfId="0" applyFont="1" applyFill="1" applyBorder="1" applyAlignment="1" applyProtection="1">
      <alignment horizontal="center" vertical="center" wrapText="1"/>
    </xf>
    <xf numFmtId="0" fontId="1" fillId="3" borderId="28" xfId="0" applyFont="1" applyFill="1" applyBorder="1" applyAlignment="1" applyProtection="1">
      <alignment horizontal="center" vertical="center"/>
      <protection hidden="1"/>
    </xf>
    <xf numFmtId="0" fontId="1" fillId="3" borderId="32" xfId="0" applyFont="1" applyFill="1" applyBorder="1" applyAlignment="1" applyProtection="1">
      <alignment horizontal="center" vertical="center"/>
      <protection hidden="1"/>
    </xf>
    <xf numFmtId="0" fontId="1" fillId="3" borderId="30" xfId="0" applyFont="1" applyFill="1" applyBorder="1" applyAlignment="1" applyProtection="1">
      <alignment horizontal="center" vertical="center"/>
      <protection hidden="1"/>
    </xf>
    <xf numFmtId="0" fontId="28" fillId="22" borderId="7" xfId="0" applyFont="1" applyFill="1" applyBorder="1" applyAlignment="1" applyProtection="1">
      <alignment horizontal="center" vertical="center"/>
    </xf>
    <xf numFmtId="0" fontId="28" fillId="22" borderId="8" xfId="0" applyFont="1" applyFill="1" applyBorder="1" applyAlignment="1" applyProtection="1">
      <alignment horizontal="center" vertical="center"/>
    </xf>
    <xf numFmtId="0" fontId="28" fillId="22" borderId="33" xfId="0" applyFont="1" applyFill="1" applyBorder="1" applyAlignment="1" applyProtection="1">
      <alignment horizontal="center" vertical="center"/>
    </xf>
    <xf numFmtId="0" fontId="28" fillId="22" borderId="37" xfId="0" applyFont="1" applyFill="1" applyBorder="1" applyAlignment="1" applyProtection="1">
      <alignment horizontal="center" vertical="center"/>
    </xf>
    <xf numFmtId="0" fontId="28" fillId="22" borderId="0" xfId="0" applyFont="1" applyFill="1" applyBorder="1" applyAlignment="1" applyProtection="1">
      <alignment horizontal="center" vertical="center"/>
    </xf>
    <xf numFmtId="0" fontId="28" fillId="22" borderId="38" xfId="0" applyFont="1" applyFill="1" applyBorder="1" applyAlignment="1" applyProtection="1">
      <alignment horizontal="center" vertical="center"/>
    </xf>
    <xf numFmtId="0" fontId="28" fillId="22" borderId="39" xfId="0" applyFont="1" applyFill="1" applyBorder="1" applyAlignment="1" applyProtection="1">
      <alignment horizontal="center" vertical="center"/>
    </xf>
    <xf numFmtId="0" fontId="28" fillId="22" borderId="15" xfId="0" applyFont="1" applyFill="1" applyBorder="1" applyAlignment="1" applyProtection="1">
      <alignment horizontal="center" vertical="center"/>
    </xf>
    <xf numFmtId="0" fontId="28" fillId="22" borderId="4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0" fillId="0" borderId="9" xfId="0" applyFont="1" applyFill="1" applyBorder="1" applyAlignment="1" applyProtection="1">
      <alignment horizontal="center" vertical="center"/>
      <protection hidden="1"/>
    </xf>
    <xf numFmtId="0" fontId="0" fillId="0" borderId="1" xfId="0" applyFont="1" applyFill="1" applyBorder="1" applyAlignment="1" applyProtection="1">
      <alignment horizontal="center" vertical="center"/>
      <protection hidden="1"/>
    </xf>
    <xf numFmtId="0" fontId="0" fillId="0" borderId="11" xfId="0" applyFont="1" applyFill="1" applyBorder="1" applyAlignment="1" applyProtection="1">
      <alignment horizontal="center" vertical="center"/>
      <protection hidden="1"/>
    </xf>
    <xf numFmtId="0" fontId="0" fillId="0" borderId="3" xfId="0" applyFont="1" applyFill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right"/>
      <protection hidden="1"/>
    </xf>
    <xf numFmtId="0" fontId="1" fillId="0" borderId="31" xfId="0" applyFont="1" applyBorder="1" applyAlignment="1" applyProtection="1">
      <alignment horizontal="right"/>
      <protection hidden="1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33" xfId="0" applyFont="1" applyBorder="1" applyAlignment="1" applyProtection="1">
      <alignment horizontal="left" vertical="top" wrapText="1"/>
      <protection locked="0"/>
    </xf>
    <xf numFmtId="0" fontId="2" fillId="0" borderId="37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8" xfId="0" applyFont="1" applyBorder="1" applyAlignment="1" applyProtection="1">
      <alignment horizontal="left" vertical="top" wrapText="1"/>
      <protection locked="0"/>
    </xf>
    <xf numFmtId="0" fontId="2" fillId="0" borderId="39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40" xfId="0" applyFont="1" applyBorder="1" applyAlignment="1" applyProtection="1">
      <alignment horizontal="left" vertical="top" wrapText="1"/>
      <protection locked="0"/>
    </xf>
    <xf numFmtId="164" fontId="19" fillId="0" borderId="49" xfId="0" applyNumberFormat="1" applyFont="1" applyBorder="1" applyAlignment="1" applyProtection="1">
      <alignment horizontal="center" vertical="center"/>
      <protection locked="0"/>
    </xf>
    <xf numFmtId="164" fontId="19" fillId="0" borderId="29" xfId="0" applyNumberFormat="1" applyFont="1" applyBorder="1" applyAlignment="1" applyProtection="1">
      <alignment horizontal="center" vertical="center"/>
      <protection locked="0"/>
    </xf>
    <xf numFmtId="164" fontId="19" fillId="0" borderId="20" xfId="0" applyNumberFormat="1" applyFont="1" applyBorder="1" applyAlignment="1" applyProtection="1">
      <alignment horizontal="center" vertical="center"/>
      <protection locked="0"/>
    </xf>
    <xf numFmtId="164" fontId="19" fillId="0" borderId="21" xfId="0" applyNumberFormat="1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20" xfId="0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right"/>
    </xf>
    <xf numFmtId="0" fontId="1" fillId="0" borderId="31" xfId="0" applyFont="1" applyBorder="1" applyAlignment="1" applyProtection="1">
      <alignment horizontal="right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0" fontId="0" fillId="0" borderId="3" xfId="0" applyNumberFormat="1" applyBorder="1" applyAlignment="1" applyProtection="1">
      <alignment horizontal="center" vertical="center"/>
      <protection locked="0"/>
    </xf>
    <xf numFmtId="10" fontId="0" fillId="0" borderId="4" xfId="0" applyNumberFormat="1" applyBorder="1" applyAlignment="1" applyProtection="1">
      <alignment horizontal="center" vertical="center"/>
      <protection locked="0"/>
    </xf>
    <xf numFmtId="0" fontId="0" fillId="23" borderId="3" xfId="0" applyFill="1" applyBorder="1" applyAlignment="1" applyProtection="1">
      <alignment horizontal="center" vertical="center"/>
      <protection locked="0"/>
    </xf>
    <xf numFmtId="0" fontId="0" fillId="23" borderId="4" xfId="0" applyFill="1" applyBorder="1" applyAlignment="1" applyProtection="1">
      <alignment horizontal="center" vertical="center"/>
      <protection locked="0"/>
    </xf>
    <xf numFmtId="0" fontId="0" fillId="22" borderId="12" xfId="0" applyFill="1" applyBorder="1" applyAlignment="1" applyProtection="1">
      <alignment horizontal="center" vertical="center"/>
      <protection locked="0"/>
    </xf>
    <xf numFmtId="0" fontId="0" fillId="22" borderId="14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9" fontId="0" fillId="22" borderId="3" xfId="0" applyNumberFormat="1" applyFill="1" applyBorder="1" applyAlignment="1" applyProtection="1">
      <alignment horizontal="center" vertical="center"/>
      <protection locked="0"/>
    </xf>
    <xf numFmtId="9" fontId="0" fillId="22" borderId="4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4" borderId="33" xfId="0" applyFont="1" applyFill="1" applyBorder="1" applyAlignment="1" applyProtection="1">
      <alignment horizontal="center" vertical="center"/>
    </xf>
    <xf numFmtId="0" fontId="1" fillId="22" borderId="43" xfId="0" applyFont="1" applyFill="1" applyBorder="1" applyAlignment="1" applyProtection="1">
      <alignment horizontal="center" vertical="center" wrapText="1"/>
      <protection hidden="1"/>
    </xf>
    <xf numFmtId="0" fontId="1" fillId="22" borderId="14" xfId="0" applyFont="1" applyFill="1" applyBorder="1" applyAlignment="1" applyProtection="1">
      <alignment horizontal="center" vertical="center" wrapText="1"/>
      <protection hidden="1"/>
    </xf>
    <xf numFmtId="0" fontId="1" fillId="0" borderId="41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42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22" borderId="42" xfId="0" applyFont="1" applyFill="1" applyBorder="1" applyAlignment="1" applyProtection="1">
      <alignment horizontal="center" vertical="center"/>
      <protection hidden="1"/>
    </xf>
    <xf numFmtId="0" fontId="1" fillId="22" borderId="4" xfId="0" applyFont="1" applyFill="1" applyBorder="1" applyAlignment="1" applyProtection="1">
      <alignment horizontal="center" vertical="center"/>
      <protection hidden="1"/>
    </xf>
    <xf numFmtId="0" fontId="1" fillId="23" borderId="42" xfId="0" applyFont="1" applyFill="1" applyBorder="1" applyAlignment="1" applyProtection="1">
      <alignment horizontal="center" vertical="center" wrapText="1"/>
      <protection hidden="1"/>
    </xf>
    <xf numFmtId="0" fontId="1" fillId="23" borderId="4" xfId="0" applyFont="1" applyFill="1" applyBorder="1" applyAlignment="1" applyProtection="1">
      <alignment horizontal="center" vertical="center" wrapText="1"/>
      <protection hidden="1"/>
    </xf>
    <xf numFmtId="0" fontId="1" fillId="0" borderId="42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5" fillId="0" borderId="28" xfId="0" applyFont="1" applyBorder="1" applyAlignment="1" applyProtection="1">
      <alignment horizontal="center" vertical="center"/>
      <protection hidden="1"/>
    </xf>
    <xf numFmtId="0" fontId="5" fillId="0" borderId="71" xfId="0" applyFont="1" applyBorder="1" applyAlignment="1" applyProtection="1">
      <alignment horizontal="center" vertical="center"/>
      <protection hidden="1"/>
    </xf>
    <xf numFmtId="0" fontId="1" fillId="15" borderId="16" xfId="0" applyFont="1" applyFill="1" applyBorder="1" applyAlignment="1" applyProtection="1">
      <alignment horizontal="center"/>
    </xf>
    <xf numFmtId="0" fontId="1" fillId="15" borderId="17" xfId="0" applyFont="1" applyFill="1" applyBorder="1" applyAlignment="1" applyProtection="1">
      <alignment horizontal="center"/>
    </xf>
    <xf numFmtId="0" fontId="1" fillId="15" borderId="18" xfId="0" applyFont="1" applyFill="1" applyBorder="1" applyAlignment="1" applyProtection="1">
      <alignment horizontal="center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49" xfId="0" applyBorder="1" applyAlignment="1" applyProtection="1">
      <alignment horizontal="center" vertical="center"/>
      <protection hidden="1"/>
    </xf>
    <xf numFmtId="0" fontId="0" fillId="24" borderId="19" xfId="0" applyFill="1" applyBorder="1" applyAlignment="1" applyProtection="1">
      <alignment horizontal="center" vertical="center"/>
      <protection hidden="1"/>
    </xf>
    <xf numFmtId="0" fontId="0" fillId="24" borderId="21" xfId="0" applyFill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15" borderId="69" xfId="0" applyFill="1" applyBorder="1" applyAlignment="1" applyProtection="1">
      <alignment horizontal="center" vertical="center"/>
      <protection hidden="1"/>
    </xf>
    <xf numFmtId="0" fontId="0" fillId="15" borderId="70" xfId="0" applyFill="1" applyBorder="1" applyAlignment="1" applyProtection="1">
      <alignment horizontal="center" vertical="center"/>
      <protection hidden="1"/>
    </xf>
    <xf numFmtId="0" fontId="0" fillId="15" borderId="43" xfId="0" applyFill="1" applyBorder="1" applyAlignment="1" applyProtection="1">
      <alignment horizontal="center" vertical="center"/>
      <protection hidden="1"/>
    </xf>
    <xf numFmtId="0" fontId="0" fillId="15" borderId="14" xfId="0" applyFill="1" applyBorder="1" applyAlignment="1" applyProtection="1">
      <alignment horizontal="center" vertical="center"/>
      <protection hidden="1"/>
    </xf>
    <xf numFmtId="10" fontId="0" fillId="26" borderId="41" xfId="0" applyNumberFormat="1" applyFill="1" applyBorder="1" applyAlignment="1" applyProtection="1">
      <alignment horizontal="center" vertical="center"/>
      <protection hidden="1"/>
    </xf>
    <xf numFmtId="10" fontId="0" fillId="26" borderId="13" xfId="0" applyNumberFormat="1" applyFill="1" applyBorder="1" applyAlignment="1" applyProtection="1">
      <alignment horizontal="center" vertical="center"/>
      <protection hidden="1"/>
    </xf>
    <xf numFmtId="10" fontId="0" fillId="26" borderId="43" xfId="0" applyNumberFormat="1" applyFill="1" applyBorder="1" applyAlignment="1" applyProtection="1">
      <alignment horizontal="center" vertical="center"/>
      <protection hidden="1"/>
    </xf>
    <xf numFmtId="10" fontId="0" fillId="26" borderId="14" xfId="0" applyNumberFormat="1" applyFill="1" applyBorder="1" applyAlignment="1" applyProtection="1">
      <alignment horizontal="center" vertical="center"/>
      <protection hidden="1"/>
    </xf>
    <xf numFmtId="0" fontId="0" fillId="15" borderId="19" xfId="0" applyFill="1" applyBorder="1" applyAlignment="1" applyProtection="1">
      <alignment horizontal="center" vertical="center"/>
      <protection hidden="1"/>
    </xf>
    <xf numFmtId="0" fontId="0" fillId="15" borderId="21" xfId="0" applyFill="1" applyBorder="1" applyAlignment="1" applyProtection="1">
      <alignment horizontal="center" vertical="center"/>
      <protection hidden="1"/>
    </xf>
    <xf numFmtId="0" fontId="0" fillId="26" borderId="19" xfId="0" applyFill="1" applyBorder="1" applyAlignment="1" applyProtection="1">
      <alignment horizontal="center" vertical="center"/>
      <protection hidden="1"/>
    </xf>
    <xf numFmtId="0" fontId="0" fillId="26" borderId="21" xfId="0" applyFill="1" applyBorder="1" applyAlignment="1" applyProtection="1">
      <alignment horizontal="center" vertical="center"/>
      <protection hidden="1"/>
    </xf>
    <xf numFmtId="0" fontId="25" fillId="3" borderId="66" xfId="0" applyFont="1" applyFill="1" applyBorder="1" applyAlignment="1" applyProtection="1">
      <alignment horizontal="right" vertical="center"/>
      <protection hidden="1"/>
    </xf>
    <xf numFmtId="0" fontId="25" fillId="3" borderId="67" xfId="0" applyFont="1" applyFill="1" applyBorder="1" applyAlignment="1" applyProtection="1">
      <alignment horizontal="right" vertical="center"/>
      <protection hidden="1"/>
    </xf>
    <xf numFmtId="0" fontId="25" fillId="3" borderId="68" xfId="0" applyFont="1" applyFill="1" applyBorder="1" applyAlignment="1" applyProtection="1">
      <alignment horizontal="right" vertical="center"/>
      <protection hidden="1"/>
    </xf>
    <xf numFmtId="0" fontId="1" fillId="3" borderId="7" xfId="0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1" fillId="3" borderId="33" xfId="0" applyFont="1" applyFill="1" applyBorder="1" applyAlignment="1" applyProtection="1">
      <alignment horizontal="center" vertical="center"/>
      <protection hidden="1"/>
    </xf>
    <xf numFmtId="0" fontId="1" fillId="3" borderId="37" xfId="0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Border="1" applyAlignment="1" applyProtection="1">
      <alignment horizontal="center" vertical="center"/>
      <protection hidden="1"/>
    </xf>
    <xf numFmtId="0" fontId="1" fillId="3" borderId="38" xfId="0" applyFont="1" applyFill="1" applyBorder="1" applyAlignment="1" applyProtection="1">
      <alignment horizontal="center" vertical="center"/>
      <protection hidden="1"/>
    </xf>
    <xf numFmtId="0" fontId="1" fillId="3" borderId="39" xfId="0" applyFont="1" applyFill="1" applyBorder="1" applyAlignment="1" applyProtection="1">
      <alignment horizontal="center" vertical="center"/>
      <protection hidden="1"/>
    </xf>
    <xf numFmtId="0" fontId="1" fillId="3" borderId="15" xfId="0" applyFont="1" applyFill="1" applyBorder="1" applyAlignment="1" applyProtection="1">
      <alignment horizontal="center" vertical="center"/>
      <protection hidden="1"/>
    </xf>
    <xf numFmtId="0" fontId="1" fillId="3" borderId="40" xfId="0" applyFont="1" applyFill="1" applyBorder="1" applyAlignment="1" applyProtection="1">
      <alignment horizontal="center" vertical="center"/>
      <protection hidden="1"/>
    </xf>
    <xf numFmtId="0" fontId="21" fillId="3" borderId="19" xfId="0" applyFont="1" applyFill="1" applyBorder="1" applyAlignment="1" applyProtection="1">
      <alignment horizontal="right" vertical="center"/>
      <protection hidden="1"/>
    </xf>
    <xf numFmtId="0" fontId="21" fillId="3" borderId="20" xfId="0" applyFont="1" applyFill="1" applyBorder="1" applyAlignment="1" applyProtection="1">
      <alignment horizontal="right" vertical="center"/>
      <protection hidden="1"/>
    </xf>
    <xf numFmtId="0" fontId="20" fillId="3" borderId="9" xfId="0" applyFont="1" applyFill="1" applyBorder="1" applyAlignment="1" applyProtection="1">
      <alignment horizontal="right"/>
      <protection hidden="1"/>
    </xf>
    <xf numFmtId="0" fontId="20" fillId="3" borderId="1" xfId="0" applyFont="1" applyFill="1" applyBorder="1" applyAlignment="1" applyProtection="1">
      <alignment horizontal="right"/>
      <protection hidden="1"/>
    </xf>
    <xf numFmtId="0" fontId="1" fillId="3" borderId="7" xfId="0" applyFont="1" applyFill="1" applyBorder="1" applyAlignment="1" applyProtection="1">
      <alignment horizontal="center"/>
      <protection hidden="1"/>
    </xf>
    <xf numFmtId="0" fontId="1" fillId="3" borderId="8" xfId="0" applyFont="1" applyFill="1" applyBorder="1" applyAlignment="1" applyProtection="1">
      <alignment horizontal="center"/>
      <protection hidden="1"/>
    </xf>
    <xf numFmtId="0" fontId="1" fillId="3" borderId="33" xfId="0" applyFont="1" applyFill="1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right" vertical="center"/>
      <protection hidden="1"/>
    </xf>
    <xf numFmtId="0" fontId="0" fillId="0" borderId="18" xfId="0" applyBorder="1" applyAlignment="1" applyProtection="1">
      <alignment horizontal="right" vertical="center"/>
      <protection hidden="1"/>
    </xf>
    <xf numFmtId="0" fontId="11" fillId="19" borderId="16" xfId="0" applyFont="1" applyFill="1" applyBorder="1" applyAlignment="1" applyProtection="1">
      <alignment horizontal="center" vertical="center"/>
      <protection hidden="1"/>
    </xf>
    <xf numFmtId="0" fontId="11" fillId="19" borderId="17" xfId="0" applyFont="1" applyFill="1" applyBorder="1" applyAlignment="1" applyProtection="1">
      <alignment horizontal="center" vertic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0" fontId="0" fillId="0" borderId="6" xfId="0" applyFont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1" fillId="6" borderId="13" xfId="0" applyFont="1" applyFill="1" applyBorder="1" applyAlignment="1" applyProtection="1">
      <alignment horizontal="center"/>
    </xf>
    <xf numFmtId="0" fontId="1" fillId="6" borderId="14" xfId="0" applyFont="1" applyFill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166" fontId="0" fillId="0" borderId="22" xfId="0" applyNumberFormat="1" applyBorder="1" applyAlignment="1" applyProtection="1">
      <alignment horizontal="center"/>
      <protection locked="0"/>
    </xf>
    <xf numFmtId="166" fontId="0" fillId="0" borderId="24" xfId="0" applyNumberFormat="1" applyBorder="1" applyAlignment="1" applyProtection="1">
      <alignment horizontal="center"/>
      <protection locked="0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49" xfId="0" applyFont="1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/>
    </xf>
    <xf numFmtId="0" fontId="0" fillId="3" borderId="53" xfId="0" applyFill="1" applyBorder="1" applyAlignment="1" applyProtection="1">
      <alignment horizontal="center"/>
    </xf>
    <xf numFmtId="0" fontId="14" fillId="3" borderId="16" xfId="0" applyFont="1" applyFill="1" applyBorder="1" applyAlignment="1" applyProtection="1">
      <alignment horizontal="center"/>
    </xf>
    <xf numFmtId="0" fontId="14" fillId="3" borderId="18" xfId="0" applyFont="1" applyFill="1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1" fillId="0" borderId="19" xfId="0" applyFont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/>
    </xf>
    <xf numFmtId="0" fontId="1" fillId="0" borderId="21" xfId="0" applyFont="1" applyBorder="1" applyAlignment="1" applyProtection="1">
      <alignment horizontal="center"/>
    </xf>
    <xf numFmtId="0" fontId="0" fillId="0" borderId="10" xfId="0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 shrinkToFit="1"/>
    </xf>
    <xf numFmtId="0" fontId="2" fillId="0" borderId="14" xfId="0" applyFont="1" applyBorder="1" applyAlignment="1" applyProtection="1">
      <alignment horizontal="center" vertical="center" wrapText="1" shrinkToFit="1"/>
    </xf>
    <xf numFmtId="0" fontId="0" fillId="0" borderId="9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/>
    </xf>
    <xf numFmtId="0" fontId="1" fillId="6" borderId="19" xfId="0" applyFont="1" applyFill="1" applyBorder="1" applyAlignment="1" applyProtection="1">
      <alignment horizontal="center"/>
    </xf>
    <xf numFmtId="0" fontId="1" fillId="6" borderId="21" xfId="0" applyFont="1" applyFill="1" applyBorder="1" applyAlignment="1" applyProtection="1">
      <alignment horizontal="center"/>
    </xf>
    <xf numFmtId="0" fontId="1" fillId="7" borderId="19" xfId="0" applyFont="1" applyFill="1" applyBorder="1" applyAlignment="1" applyProtection="1">
      <alignment horizontal="center"/>
    </xf>
    <xf numFmtId="0" fontId="1" fillId="7" borderId="21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17" xfId="0" applyFont="1" applyFill="1" applyBorder="1" applyAlignment="1" applyProtection="1">
      <alignment horizontal="center"/>
    </xf>
    <xf numFmtId="0" fontId="7" fillId="3" borderId="18" xfId="0" applyFont="1" applyFill="1" applyBorder="1" applyAlignment="1" applyProtection="1">
      <alignment horizontal="center"/>
    </xf>
    <xf numFmtId="164" fontId="19" fillId="0" borderId="3" xfId="0" applyNumberFormat="1" applyFont="1" applyBorder="1" applyAlignment="1" applyProtection="1">
      <alignment horizontal="center"/>
      <protection locked="0"/>
    </xf>
    <xf numFmtId="0" fontId="1" fillId="6" borderId="13" xfId="0" applyFont="1" applyFill="1" applyBorder="1" applyAlignment="1" applyProtection="1">
      <alignment horizontal="center" vertical="center"/>
    </xf>
    <xf numFmtId="0" fontId="1" fillId="6" borderId="14" xfId="0" applyFont="1" applyFill="1" applyBorder="1" applyAlignment="1" applyProtection="1">
      <alignment horizontal="center" vertical="center"/>
    </xf>
    <xf numFmtId="0" fontId="1" fillId="7" borderId="13" xfId="0" applyFont="1" applyFill="1" applyBorder="1" applyAlignment="1" applyProtection="1">
      <alignment horizontal="center" vertical="center"/>
    </xf>
    <xf numFmtId="0" fontId="1" fillId="7" borderId="57" xfId="0" applyFont="1" applyFill="1" applyBorder="1" applyAlignment="1" applyProtection="1">
      <alignment horizontal="center" vertical="center"/>
    </xf>
    <xf numFmtId="0" fontId="0" fillId="3" borderId="22" xfId="0" applyFill="1" applyBorder="1" applyAlignment="1" applyProtection="1">
      <alignment horizontal="center"/>
    </xf>
    <xf numFmtId="0" fontId="0" fillId="3" borderId="24" xfId="0" applyFill="1" applyBorder="1" applyAlignment="1" applyProtection="1">
      <alignment horizontal="center"/>
    </xf>
    <xf numFmtId="164" fontId="19" fillId="0" borderId="22" xfId="0" applyNumberFormat="1" applyFont="1" applyBorder="1" applyAlignment="1" applyProtection="1">
      <alignment horizontal="center"/>
      <protection locked="0"/>
    </xf>
    <xf numFmtId="164" fontId="19" fillId="0" borderId="24" xfId="0" applyNumberFormat="1" applyFont="1" applyBorder="1" applyAlignment="1" applyProtection="1">
      <alignment horizontal="center"/>
      <protection locked="0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</xf>
    <xf numFmtId="0" fontId="1" fillId="7" borderId="49" xfId="0" applyFont="1" applyFill="1" applyBorder="1" applyAlignment="1" applyProtection="1">
      <alignment horizontal="center"/>
    </xf>
    <xf numFmtId="10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7" borderId="13" xfId="0" applyFont="1" applyFill="1" applyBorder="1" applyAlignment="1" applyProtection="1">
      <alignment horizontal="center"/>
    </xf>
    <xf numFmtId="0" fontId="1" fillId="7" borderId="57" xfId="0" applyFont="1" applyFill="1" applyBorder="1" applyAlignment="1" applyProtection="1">
      <alignment horizontal="center"/>
    </xf>
    <xf numFmtId="0" fontId="1" fillId="7" borderId="14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6" fillId="12" borderId="58" xfId="0" applyFont="1" applyFill="1" applyBorder="1" applyAlignment="1">
      <alignment horizontal="center" vertical="center"/>
    </xf>
    <xf numFmtId="0" fontId="16" fillId="12" borderId="59" xfId="0" applyFont="1" applyFill="1" applyBorder="1" applyAlignment="1">
      <alignment horizontal="center" vertical="center"/>
    </xf>
    <xf numFmtId="0" fontId="16" fillId="12" borderId="60" xfId="0" applyFont="1" applyFill="1" applyBorder="1" applyAlignment="1">
      <alignment horizontal="center" vertical="center"/>
    </xf>
    <xf numFmtId="0" fontId="16" fillId="12" borderId="61" xfId="0" applyFont="1" applyFill="1" applyBorder="1" applyAlignment="1">
      <alignment horizontal="center" vertical="center"/>
    </xf>
    <xf numFmtId="0" fontId="16" fillId="12" borderId="0" xfId="0" applyFont="1" applyFill="1" applyBorder="1" applyAlignment="1">
      <alignment horizontal="center" vertical="center"/>
    </xf>
    <xf numFmtId="0" fontId="16" fillId="12" borderId="62" xfId="0" applyFont="1" applyFill="1" applyBorder="1" applyAlignment="1">
      <alignment horizontal="center" vertical="center"/>
    </xf>
    <xf numFmtId="0" fontId="16" fillId="12" borderId="63" xfId="0" applyFont="1" applyFill="1" applyBorder="1" applyAlignment="1">
      <alignment horizontal="center" vertical="center"/>
    </xf>
    <xf numFmtId="0" fontId="16" fillId="12" borderId="64" xfId="0" applyFont="1" applyFill="1" applyBorder="1" applyAlignment="1">
      <alignment horizontal="center" vertical="center"/>
    </xf>
    <xf numFmtId="0" fontId="16" fillId="12" borderId="6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67"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8F8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8F8F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8F8F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B9B9"/>
        </patternFill>
      </fill>
    </dxf>
    <dxf>
      <fill>
        <patternFill>
          <bgColor rgb="FFFF8F8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8989"/>
        </patternFill>
      </fill>
    </dxf>
    <dxf>
      <fill>
        <patternFill>
          <bgColor rgb="FFC7A1E3"/>
        </patternFill>
      </fill>
    </dxf>
    <dxf>
      <fill>
        <patternFill>
          <bgColor rgb="FFC7A1E3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AFAF"/>
        </patternFill>
      </fill>
    </dxf>
    <dxf>
      <font>
        <b/>
        <i val="0"/>
        <color theme="7" tint="-0.24994659260841701"/>
      </font>
      <fill>
        <patternFill>
          <bgColor rgb="FFFFFFBD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8" tint="-0.24994659260841701"/>
      </font>
      <fill>
        <patternFill>
          <bgColor theme="8" tint="0.39994506668294322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6161"/>
        </patternFill>
      </fill>
    </dxf>
    <dxf>
      <fill>
        <patternFill>
          <bgColor rgb="FFFF85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8989"/>
        </patternFill>
      </fill>
    </dxf>
    <dxf>
      <fill>
        <patternFill>
          <bgColor rgb="FFC7A1E3"/>
        </patternFill>
      </fill>
    </dxf>
    <dxf>
      <fill>
        <patternFill>
          <bgColor rgb="FFC7A1E3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8F8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206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 tint="0.39994506668294322"/>
      </font>
    </dxf>
    <dxf>
      <font>
        <color theme="7" tint="0.39994506668294322"/>
      </font>
    </dxf>
    <dxf>
      <font>
        <color rgb="FF23B0BF"/>
      </font>
    </dxf>
    <dxf>
      <font>
        <color theme="0"/>
      </font>
    </dxf>
    <dxf>
      <font>
        <color rgb="FFC00000"/>
      </font>
      <fill>
        <patternFill>
          <bgColor rgb="FFFFB9B9"/>
        </patternFill>
      </fill>
    </dxf>
    <dxf>
      <fill>
        <patternFill>
          <bgColor rgb="FFFF8F8F"/>
        </patternFill>
      </fill>
    </dxf>
  </dxfs>
  <tableStyles count="0" defaultTableStyle="TableStyleMedium2" defaultPivotStyle="PivotStyleLight16"/>
  <colors>
    <mruColors>
      <color rgb="FF00FF00"/>
      <color rgb="FF0000FF"/>
      <color rgb="FFFFB9B9"/>
      <color rgb="FFFFBDBD"/>
      <color rgb="FFFFD5D5"/>
      <color rgb="FFC7A1E3"/>
      <color rgb="FFFF8F8F"/>
      <color rgb="FFFF9393"/>
      <color rgb="FFFFAFAF"/>
      <color rgb="FF23B0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V38"/>
  <sheetViews>
    <sheetView tabSelected="1" zoomScaleNormal="100" workbookViewId="0">
      <selection activeCell="E22" sqref="E22"/>
    </sheetView>
  </sheetViews>
  <sheetFormatPr defaultRowHeight="15" x14ac:dyDescent="0.25"/>
  <cols>
    <col min="1" max="3" width="14.7109375" customWidth="1"/>
    <col min="4" max="4" width="10.42578125" bestFit="1" customWidth="1"/>
    <col min="5" max="5" width="10.140625" bestFit="1" customWidth="1"/>
    <col min="6" max="6" width="14.7109375" bestFit="1" customWidth="1"/>
    <col min="7" max="21" width="10.140625" customWidth="1"/>
    <col min="22" max="22" width="14.5703125" customWidth="1"/>
  </cols>
  <sheetData>
    <row r="1" spans="1:22" ht="30.75" customHeight="1" x14ac:dyDescent="0.25">
      <c r="A1" s="151" t="s">
        <v>56</v>
      </c>
      <c r="B1" s="141">
        <v>2022</v>
      </c>
      <c r="C1" s="152" t="s">
        <v>54</v>
      </c>
      <c r="D1" s="153" t="s">
        <v>6</v>
      </c>
      <c r="E1" s="154" t="s">
        <v>7</v>
      </c>
      <c r="F1" s="155" t="s">
        <v>44</v>
      </c>
      <c r="G1" s="156" t="s">
        <v>140</v>
      </c>
      <c r="H1" s="157" t="s">
        <v>141</v>
      </c>
      <c r="I1" s="157" t="s">
        <v>142</v>
      </c>
      <c r="J1" s="158" t="s">
        <v>178</v>
      </c>
      <c r="K1" s="159" t="s">
        <v>143</v>
      </c>
      <c r="L1" s="160" t="s">
        <v>144</v>
      </c>
      <c r="M1" s="160" t="s">
        <v>145</v>
      </c>
      <c r="N1" s="161" t="s">
        <v>179</v>
      </c>
      <c r="O1" s="162" t="s">
        <v>146</v>
      </c>
      <c r="P1" s="163" t="s">
        <v>147</v>
      </c>
      <c r="Q1" s="163" t="s">
        <v>148</v>
      </c>
      <c r="R1" s="164" t="s">
        <v>180</v>
      </c>
      <c r="S1" s="165" t="s">
        <v>149</v>
      </c>
      <c r="T1" s="166" t="s">
        <v>150</v>
      </c>
      <c r="U1" s="167" t="s">
        <v>151</v>
      </c>
      <c r="V1" s="168" t="s">
        <v>45</v>
      </c>
    </row>
    <row r="2" spans="1:22" x14ac:dyDescent="0.25">
      <c r="A2" s="559" t="s">
        <v>38</v>
      </c>
      <c r="B2" s="560"/>
      <c r="C2" s="560"/>
      <c r="D2" s="169">
        <f>'SOCIAL MEDIA'!T2</f>
        <v>0</v>
      </c>
      <c r="E2" s="169">
        <f>'SOCIAL MEDIA'!Q9</f>
        <v>0</v>
      </c>
      <c r="F2" s="170">
        <f>'SOCIAL MEDIA'!T9</f>
        <v>0</v>
      </c>
      <c r="G2" s="171">
        <f>'SOCIAL MEDIA'!Q5</f>
        <v>0</v>
      </c>
      <c r="H2" s="172">
        <f>'SOCIAL MEDIA'!T5</f>
        <v>0</v>
      </c>
      <c r="I2" s="172">
        <f>IF(NOT(ISBLANK(J2)),0,G2-H2)</f>
        <v>0</v>
      </c>
      <c r="J2" s="377"/>
      <c r="K2" s="173">
        <f>'SOCIAL MEDIA'!Q6+J2</f>
        <v>0</v>
      </c>
      <c r="L2" s="174">
        <f>'SOCIAL MEDIA'!T6</f>
        <v>0</v>
      </c>
      <c r="M2" s="174">
        <f>IF(NOT(ISBLANK(N2)),0,K2-L2)</f>
        <v>0</v>
      </c>
      <c r="N2" s="378"/>
      <c r="O2" s="175">
        <f>'SOCIAL MEDIA'!Q7+N2</f>
        <v>0</v>
      </c>
      <c r="P2" s="176">
        <f>'SOCIAL MEDIA'!T7</f>
        <v>0</v>
      </c>
      <c r="Q2" s="176">
        <f>IF(NOT(ISBLANK(R2)),0,O2-P2)</f>
        <v>0</v>
      </c>
      <c r="R2" s="379"/>
      <c r="S2" s="177">
        <f>'SOCIAL MEDIA'!Q8+R2</f>
        <v>0</v>
      </c>
      <c r="T2" s="178">
        <f>'SOCIAL MEDIA'!T8</f>
        <v>0</v>
      </c>
      <c r="U2" s="142">
        <f>S2-T2</f>
        <v>0</v>
      </c>
      <c r="V2" s="179">
        <f>SUM(I2,M2,Q2,U2)</f>
        <v>0</v>
      </c>
    </row>
    <row r="3" spans="1:22" x14ac:dyDescent="0.25">
      <c r="A3" s="559" t="s">
        <v>39</v>
      </c>
      <c r="B3" s="560"/>
      <c r="C3" s="560"/>
      <c r="D3" s="169">
        <f>'INTERNET JOB'!W2</f>
        <v>0</v>
      </c>
      <c r="E3" s="169">
        <f>'INTERNET JOB'!U9</f>
        <v>0</v>
      </c>
      <c r="F3" s="170">
        <f>'INTERNET JOB'!X9</f>
        <v>0</v>
      </c>
      <c r="G3" s="171">
        <f>'INTERNET JOB'!U5</f>
        <v>0</v>
      </c>
      <c r="H3" s="172">
        <f>'INTERNET JOB'!X5</f>
        <v>0</v>
      </c>
      <c r="I3" s="172">
        <f>IF(NOT(ISBLANK(J3)),0,G3-H3)</f>
        <v>0</v>
      </c>
      <c r="J3" s="377"/>
      <c r="K3" s="173">
        <f>'INTERNET JOB'!U6+J3</f>
        <v>0</v>
      </c>
      <c r="L3" s="174">
        <f>'INTERNET JOB'!X6</f>
        <v>0</v>
      </c>
      <c r="M3" s="174">
        <f>IF(NOT(ISBLANK(N3)),0,K3-L3)</f>
        <v>0</v>
      </c>
      <c r="N3" s="378"/>
      <c r="O3" s="175">
        <f>'INTERNET JOB'!U7+N3</f>
        <v>0</v>
      </c>
      <c r="P3" s="176">
        <f>'INTERNET JOB'!X7</f>
        <v>0</v>
      </c>
      <c r="Q3" s="176">
        <f>IF(NOT(ISBLANK(R3)),0,O3-P3)</f>
        <v>0</v>
      </c>
      <c r="R3" s="379"/>
      <c r="S3" s="177">
        <f>'INTERNET JOB'!U8+R3</f>
        <v>0</v>
      </c>
      <c r="T3" s="178">
        <f>'INTERNET JOB'!X8</f>
        <v>0</v>
      </c>
      <c r="U3" s="142">
        <f>S3-T3</f>
        <v>0</v>
      </c>
      <c r="V3" s="179">
        <f>SUM(I3,M3,Q3,U3)</f>
        <v>0</v>
      </c>
    </row>
    <row r="4" spans="1:22" x14ac:dyDescent="0.25">
      <c r="A4" s="559" t="s">
        <v>40</v>
      </c>
      <c r="B4" s="560"/>
      <c r="C4" s="560"/>
      <c r="D4" s="169">
        <f>F11</f>
        <v>0</v>
      </c>
      <c r="E4" s="169">
        <f>E24</f>
        <v>0</v>
      </c>
      <c r="F4" s="170">
        <f>G24</f>
        <v>0</v>
      </c>
      <c r="G4" s="171">
        <f>SUMIFS($E$13:$E$23,$D$13:$D$23,"&gt;="&amp;DATE(($B$1-1),10,1),$D$13:$D$23,"&lt;="&amp;EOMONTH(DATE(($B$1-1),10,1),2))</f>
        <v>0</v>
      </c>
      <c r="H4" s="172">
        <f>SUMIFS($G$13:$G$23,$F$13:$F$23,"&gt;="&amp;DATE(($B$1-1),10,1),$F$13:$F$23,"&lt;="&amp;EOMONTH(DATE(($B$1-1),10,1),2))</f>
        <v>0</v>
      </c>
      <c r="I4" s="172">
        <f t="shared" ref="I4:I5" si="0">IF(NOT(ISBLANK(J4)),0,G4-H4)</f>
        <v>0</v>
      </c>
      <c r="J4" s="377"/>
      <c r="K4" s="173">
        <f>SUMIFS($E$13:$E$23,$D$13:$D$23,"&gt;="&amp;DATE(($B$1),1,1),$D$13:$D$23,"&lt;="&amp;EOMONTH(DATE(($B$1),1,1),2))+J4</f>
        <v>0</v>
      </c>
      <c r="L4" s="174">
        <f>SUMIFS($G$13:$G$23,$F$13:$F$23,"&gt;="&amp;DATE(($B$1),1,1),$F$13:$F$23,"&lt;="&amp;EOMONTH(DATE(($B$1),1,1),2))</f>
        <v>0</v>
      </c>
      <c r="M4" s="174">
        <f t="shared" ref="M4:M5" si="1">IF(NOT(ISBLANK(N4)),0,K4-L4)</f>
        <v>0</v>
      </c>
      <c r="N4" s="378"/>
      <c r="O4" s="175">
        <f>SUMIFS($E$13:$E$23,$D$13:$D$23,"&gt;="&amp;DATE(($B$1),4,1),$D$13:$D$23,"&lt;="&amp;EOMONTH(DATE(($B$1),4,1),2))+N4</f>
        <v>0</v>
      </c>
      <c r="P4" s="176">
        <f>SUMIFS($G$13:$G$23,$F$13:$F$23,"&gt;="&amp;DATE(($B$1),4,1),$F$13:$F$23,"&lt;="&amp;EOMONTH(DATE(($B$1),4,1),2))</f>
        <v>0</v>
      </c>
      <c r="Q4" s="176">
        <f t="shared" ref="Q4:Q5" si="2">IF(NOT(ISBLANK(R4)),0,O4-P4)</f>
        <v>0</v>
      </c>
      <c r="R4" s="379"/>
      <c r="S4" s="177">
        <f>SUMIFS($E$13:$E$23,$D$13:$D$23,"&gt;="&amp;DATE(($B$1),7,1),$D$13:$D$23,"&lt;="&amp;EOMONTH(DATE(($B$1),7,1),2))+R4</f>
        <v>0</v>
      </c>
      <c r="T4" s="178">
        <f>SUMIFS($G$13:$G$23,$F$13:$F$23,"&gt;="&amp;DATE(($B$1),7,1),$F$13:$F$23,"&lt;="&amp;EOMONTH(DATE(($B$1),7,1),2))</f>
        <v>0</v>
      </c>
      <c r="U4" s="142">
        <f t="shared" ref="U4:U5" si="3">S4-T4</f>
        <v>0</v>
      </c>
      <c r="V4" s="179">
        <f>SUM(I4,M4,Q4,U4)</f>
        <v>0</v>
      </c>
    </row>
    <row r="5" spans="1:22" x14ac:dyDescent="0.25">
      <c r="A5" s="559" t="s">
        <v>41</v>
      </c>
      <c r="B5" s="560"/>
      <c r="C5" s="560"/>
      <c r="D5" s="169">
        <f>M11</f>
        <v>0</v>
      </c>
      <c r="E5" s="169">
        <f>L24</f>
        <v>0</v>
      </c>
      <c r="F5" s="170">
        <f>N24</f>
        <v>0</v>
      </c>
      <c r="G5" s="171">
        <f>SUMIFS($L$13:$L$23,$K$13:$K$23,"&gt;="&amp;DATE(($B$1-1),10,1),$K$13:$K$23,"&lt;="&amp;EOMONTH(DATE(($B$1-1),10,1),2))</f>
        <v>0</v>
      </c>
      <c r="H5" s="172">
        <f>SUMIFS($N$13:$N$23,$M$13:$M$23,"&gt;="&amp;DATE(($B$1-1),10,1),$M$13:$M$23,"&lt;="&amp;EOMONTH(DATE(($B$1-1),10,1),2))</f>
        <v>0</v>
      </c>
      <c r="I5" s="172">
        <f t="shared" si="0"/>
        <v>0</v>
      </c>
      <c r="J5" s="377"/>
      <c r="K5" s="173">
        <f>SUMIFS($L$13:$L$23,$K$13:$K$23,"&gt;="&amp;DATE(($B$1),1,1),$K$13:$K$23,"&lt;="&amp;EOMONTH(DATE(($B$1),1,1),2))+J5</f>
        <v>0</v>
      </c>
      <c r="L5" s="174">
        <f>SUMIFS($N$13:$N$23,$M$13:$M$23,"&gt;="&amp;DATE(($B$1),1,1),$M$13:$M$23,"&lt;="&amp;EOMONTH(DATE(($B$1),1,1),2))</f>
        <v>0</v>
      </c>
      <c r="M5" s="174">
        <f t="shared" si="1"/>
        <v>0</v>
      </c>
      <c r="N5" s="378"/>
      <c r="O5" s="175">
        <f>SUMIFS($L$13:$L$23,$K$13:$K$23,"&gt;="&amp;DATE(($B$1),4,1),$K$13:$K$23,"&lt;="&amp;EOMONTH(DATE(($B$1),4,1),2))+N5</f>
        <v>0</v>
      </c>
      <c r="P5" s="176">
        <f>SUMIFS($N$13:$N$23,$M$13:$M$23,"&gt;="&amp;DATE(($B$1),4,1),$M$13:$M$23,"&lt;="&amp;EOMONTH(DATE(($B$1),4,1),2))</f>
        <v>0</v>
      </c>
      <c r="Q5" s="176">
        <f t="shared" si="2"/>
        <v>0</v>
      </c>
      <c r="R5" s="379"/>
      <c r="S5" s="177">
        <f>SUMIFS($L$13:$L$23,$K$13:$K$23,"&gt;="&amp;DATE(($B$1),7,1),$K$13:$K$23,"&lt;="&amp;EOMONTH(DATE(($B$1),7,1),2))+R5</f>
        <v>0</v>
      </c>
      <c r="T5" s="178">
        <f>SUMIFS($N$13:$N$23,$M$13:$M$23,"&gt;="&amp;DATE(($B$1),7,1),$M$13:$M$23,"&lt;="&amp;EOMONTH(DATE(($B$1),7,1),2))</f>
        <v>0</v>
      </c>
      <c r="U5" s="142">
        <f t="shared" si="3"/>
        <v>0</v>
      </c>
      <c r="V5" s="179">
        <f>SUM(I5,M5,Q5,U5)</f>
        <v>0</v>
      </c>
    </row>
    <row r="6" spans="1:22" x14ac:dyDescent="0.25">
      <c r="A6" s="559" t="s">
        <v>23</v>
      </c>
      <c r="B6" s="560"/>
      <c r="C6" s="560"/>
      <c r="D6" s="169">
        <f>BOOTHS!Y2</f>
        <v>0</v>
      </c>
      <c r="E6" s="169">
        <f>BOOTHS!W23</f>
        <v>0</v>
      </c>
      <c r="F6" s="170">
        <f>BOOTHS!Z23</f>
        <v>0</v>
      </c>
      <c r="G6" s="171">
        <f>BOOTHS!W5</f>
        <v>0</v>
      </c>
      <c r="H6" s="172">
        <f>BOOTHS!Z5</f>
        <v>0</v>
      </c>
      <c r="I6" s="172">
        <f>IF(NOT(ISBLANK(J6)),0,G6-H6)</f>
        <v>0</v>
      </c>
      <c r="J6" s="377"/>
      <c r="K6" s="173">
        <f>BOOTHS!W6+J6</f>
        <v>0</v>
      </c>
      <c r="L6" s="174">
        <f>BOOTHS!Z6</f>
        <v>0</v>
      </c>
      <c r="M6" s="174">
        <f>IF(NOT(ISBLANK(N6)),0,K6-L6)</f>
        <v>0</v>
      </c>
      <c r="N6" s="378"/>
      <c r="O6" s="175">
        <f>BOOTHS!W7+N6</f>
        <v>0</v>
      </c>
      <c r="P6" s="176">
        <f>BOOTHS!Z7</f>
        <v>0</v>
      </c>
      <c r="Q6" s="176">
        <f>IF(NOT(ISBLANK(R6)),0,O6-P6)</f>
        <v>0</v>
      </c>
      <c r="R6" s="379"/>
      <c r="S6" s="177">
        <f>BOOTHS!W8+R6</f>
        <v>0</v>
      </c>
      <c r="T6" s="178">
        <f>BOOTHS!Z8</f>
        <v>0</v>
      </c>
      <c r="U6" s="142">
        <f>S6-T6</f>
        <v>0</v>
      </c>
      <c r="V6" s="179">
        <f t="shared" ref="V6:V8" si="4">SUM(I6,M6,Q6,U6)</f>
        <v>0</v>
      </c>
    </row>
    <row r="7" spans="1:22" x14ac:dyDescent="0.25">
      <c r="A7" s="559" t="s">
        <v>138</v>
      </c>
      <c r="B7" s="560"/>
      <c r="C7" s="560"/>
      <c r="D7" s="169">
        <f>DTS!J2</f>
        <v>0</v>
      </c>
      <c r="E7" s="169">
        <f>DTS!I9</f>
        <v>0</v>
      </c>
      <c r="F7" s="170">
        <f>DTS!K9</f>
        <v>0</v>
      </c>
      <c r="G7" s="171">
        <f>DTS!I5</f>
        <v>0</v>
      </c>
      <c r="H7" s="172">
        <f>DTS!K5</f>
        <v>0</v>
      </c>
      <c r="I7" s="172">
        <f>IF(NOT(ISBLANK(J7)),0,G7-H7)</f>
        <v>0</v>
      </c>
      <c r="J7" s="377"/>
      <c r="K7" s="173">
        <f>DTS!I6+J7</f>
        <v>0</v>
      </c>
      <c r="L7" s="174">
        <f>DTS!K6</f>
        <v>0</v>
      </c>
      <c r="M7" s="174">
        <f>IF(NOT(ISBLANK(N7)),0,K7-L7)</f>
        <v>0</v>
      </c>
      <c r="N7" s="378"/>
      <c r="O7" s="175">
        <f>DTS!I7+N7</f>
        <v>0</v>
      </c>
      <c r="P7" s="176">
        <f>DTS!K7</f>
        <v>0</v>
      </c>
      <c r="Q7" s="176">
        <f>IF(NOT(ISBLANK(R7)),0,O7-P7)</f>
        <v>0</v>
      </c>
      <c r="R7" s="379"/>
      <c r="S7" s="177">
        <f>DTS!I8+R7</f>
        <v>0</v>
      </c>
      <c r="T7" s="178">
        <f>DTS!K8</f>
        <v>0</v>
      </c>
      <c r="U7" s="142">
        <f>S7-T7</f>
        <v>0</v>
      </c>
      <c r="V7" s="179">
        <f t="shared" si="4"/>
        <v>0</v>
      </c>
    </row>
    <row r="8" spans="1:22" ht="15.75" thickBot="1" x14ac:dyDescent="0.3">
      <c r="A8" s="559" t="s">
        <v>42</v>
      </c>
      <c r="B8" s="560"/>
      <c r="C8" s="560"/>
      <c r="D8" s="169">
        <f>MAILOUTS!P2</f>
        <v>0</v>
      </c>
      <c r="E8" s="169">
        <f>MAILOUTS!N9</f>
        <v>0</v>
      </c>
      <c r="F8" s="170">
        <f>MAILOUTS!Q9</f>
        <v>0</v>
      </c>
      <c r="G8" s="171">
        <f>MAILOUTS!N5</f>
        <v>0</v>
      </c>
      <c r="H8" s="172">
        <f>MAILOUTS!Q5</f>
        <v>0</v>
      </c>
      <c r="I8" s="172">
        <f>IF(NOT(ISBLANK(J8)),0,G8-H8)</f>
        <v>0</v>
      </c>
      <c r="J8" s="377"/>
      <c r="K8" s="173">
        <f>MAILOUTS!N6+J8</f>
        <v>0</v>
      </c>
      <c r="L8" s="174">
        <f>MAILOUTS!Q6</f>
        <v>0</v>
      </c>
      <c r="M8" s="174">
        <f>IF(NOT(ISBLANK(N8)),0,K8-L8)</f>
        <v>0</v>
      </c>
      <c r="N8" s="378"/>
      <c r="O8" s="175">
        <f>MAILOUTS!N7+N8</f>
        <v>0</v>
      </c>
      <c r="P8" s="176">
        <f>MAILOUTS!Q7</f>
        <v>0</v>
      </c>
      <c r="Q8" s="176">
        <f>IF(NOT(ISBLANK(R8)),0,O8-P8)</f>
        <v>0</v>
      </c>
      <c r="R8" s="379"/>
      <c r="S8" s="177">
        <f>MAILOUTS!N8+R8</f>
        <v>0</v>
      </c>
      <c r="T8" s="178">
        <f>MAILOUTS!Q8</f>
        <v>0</v>
      </c>
      <c r="U8" s="142">
        <f>S8-T8</f>
        <v>0</v>
      </c>
      <c r="V8" s="179">
        <f t="shared" si="4"/>
        <v>0</v>
      </c>
    </row>
    <row r="9" spans="1:22" ht="15.75" thickBot="1" x14ac:dyDescent="0.3">
      <c r="A9" s="561" t="s">
        <v>43</v>
      </c>
      <c r="B9" s="562"/>
      <c r="C9" s="562"/>
      <c r="D9" s="180">
        <f t="shared" ref="D9:V9" si="5">SUM(D2:D8)</f>
        <v>0</v>
      </c>
      <c r="E9" s="180">
        <f t="shared" si="5"/>
        <v>0</v>
      </c>
      <c r="F9" s="181">
        <f t="shared" si="5"/>
        <v>0</v>
      </c>
      <c r="G9" s="182">
        <f t="shared" si="5"/>
        <v>0</v>
      </c>
      <c r="H9" s="183">
        <f t="shared" si="5"/>
        <v>0</v>
      </c>
      <c r="I9" s="183">
        <f t="shared" si="5"/>
        <v>0</v>
      </c>
      <c r="J9" s="184">
        <f t="shared" si="5"/>
        <v>0</v>
      </c>
      <c r="K9" s="185">
        <f t="shared" si="5"/>
        <v>0</v>
      </c>
      <c r="L9" s="186">
        <f t="shared" si="5"/>
        <v>0</v>
      </c>
      <c r="M9" s="186">
        <f t="shared" si="5"/>
        <v>0</v>
      </c>
      <c r="N9" s="187">
        <f t="shared" si="5"/>
        <v>0</v>
      </c>
      <c r="O9" s="188">
        <f t="shared" si="5"/>
        <v>0</v>
      </c>
      <c r="P9" s="189">
        <f t="shared" si="5"/>
        <v>0</v>
      </c>
      <c r="Q9" s="189">
        <f t="shared" si="5"/>
        <v>0</v>
      </c>
      <c r="R9" s="190">
        <f t="shared" si="5"/>
        <v>0</v>
      </c>
      <c r="S9" s="191">
        <f t="shared" si="5"/>
        <v>0</v>
      </c>
      <c r="T9" s="192">
        <f t="shared" si="5"/>
        <v>0</v>
      </c>
      <c r="U9" s="193">
        <f t="shared" si="5"/>
        <v>0</v>
      </c>
      <c r="V9" s="194">
        <f t="shared" si="5"/>
        <v>0</v>
      </c>
    </row>
    <row r="10" spans="1:22" ht="3.75" customHeight="1" thickBo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ht="15.75" thickBot="1" x14ac:dyDescent="0.3">
      <c r="A11" s="195" t="s">
        <v>58</v>
      </c>
      <c r="B11" s="196"/>
      <c r="C11" s="196"/>
      <c r="D11" s="558" t="s">
        <v>63</v>
      </c>
      <c r="E11" s="558"/>
      <c r="F11" s="551"/>
      <c r="G11" s="552"/>
      <c r="H11" s="11"/>
      <c r="I11" s="565" t="s">
        <v>62</v>
      </c>
      <c r="J11" s="566"/>
      <c r="K11" s="567"/>
      <c r="L11" s="197" t="s">
        <v>181</v>
      </c>
      <c r="M11" s="553"/>
      <c r="N11" s="554"/>
      <c r="P11" s="555" t="s">
        <v>137</v>
      </c>
      <c r="Q11" s="556"/>
      <c r="R11" s="556"/>
      <c r="S11" s="556"/>
      <c r="T11" s="556"/>
      <c r="U11" s="556"/>
      <c r="V11" s="557"/>
    </row>
    <row r="12" spans="1:22" ht="15" customHeight="1" x14ac:dyDescent="0.25">
      <c r="A12" s="198" t="s">
        <v>53</v>
      </c>
      <c r="B12" s="199" t="s">
        <v>20</v>
      </c>
      <c r="C12" s="199" t="s">
        <v>52</v>
      </c>
      <c r="D12" s="199" t="s">
        <v>59</v>
      </c>
      <c r="E12" s="199" t="s">
        <v>153</v>
      </c>
      <c r="F12" s="199" t="s">
        <v>271</v>
      </c>
      <c r="G12" s="200" t="s">
        <v>152</v>
      </c>
      <c r="H12" s="11"/>
      <c r="I12" s="568" t="s">
        <v>272</v>
      </c>
      <c r="J12" s="569"/>
      <c r="K12" s="368" t="s">
        <v>59</v>
      </c>
      <c r="L12" s="201" t="s">
        <v>153</v>
      </c>
      <c r="M12" s="201" t="s">
        <v>59</v>
      </c>
      <c r="N12" s="369" t="s">
        <v>152</v>
      </c>
      <c r="P12" s="542" t="s">
        <v>270</v>
      </c>
      <c r="Q12" s="543"/>
      <c r="R12" s="543"/>
      <c r="S12" s="543"/>
      <c r="T12" s="543"/>
      <c r="U12" s="543"/>
      <c r="V12" s="544"/>
    </row>
    <row r="13" spans="1:22" x14ac:dyDescent="0.25">
      <c r="A13" s="126"/>
      <c r="B13" s="127"/>
      <c r="C13" s="127"/>
      <c r="D13" s="150"/>
      <c r="E13" s="147"/>
      <c r="F13" s="150"/>
      <c r="G13" s="128"/>
      <c r="H13" s="11"/>
      <c r="I13" s="570"/>
      <c r="J13" s="571"/>
      <c r="K13" s="135"/>
      <c r="L13" s="136"/>
      <c r="M13" s="374"/>
      <c r="N13" s="137"/>
      <c r="P13" s="545"/>
      <c r="Q13" s="546"/>
      <c r="R13" s="546"/>
      <c r="S13" s="546"/>
      <c r="T13" s="546"/>
      <c r="U13" s="546"/>
      <c r="V13" s="547"/>
    </row>
    <row r="14" spans="1:22" x14ac:dyDescent="0.25">
      <c r="A14" s="126"/>
      <c r="B14" s="127"/>
      <c r="C14" s="127"/>
      <c r="D14" s="150"/>
      <c r="E14" s="147"/>
      <c r="F14" s="150"/>
      <c r="G14" s="128"/>
      <c r="H14" s="11"/>
      <c r="I14" s="570"/>
      <c r="J14" s="571"/>
      <c r="K14" s="135"/>
      <c r="L14" s="136"/>
      <c r="M14" s="374"/>
      <c r="N14" s="137"/>
      <c r="P14" s="545"/>
      <c r="Q14" s="546"/>
      <c r="R14" s="546"/>
      <c r="S14" s="546"/>
      <c r="T14" s="546"/>
      <c r="U14" s="546"/>
      <c r="V14" s="547"/>
    </row>
    <row r="15" spans="1:22" x14ac:dyDescent="0.25">
      <c r="A15" s="126"/>
      <c r="B15" s="127"/>
      <c r="C15" s="127"/>
      <c r="D15" s="150"/>
      <c r="E15" s="147"/>
      <c r="F15" s="150"/>
      <c r="G15" s="128"/>
      <c r="H15" s="11"/>
      <c r="I15" s="570"/>
      <c r="J15" s="571"/>
      <c r="K15" s="135"/>
      <c r="L15" s="136"/>
      <c r="M15" s="374"/>
      <c r="N15" s="137"/>
      <c r="P15" s="545"/>
      <c r="Q15" s="546"/>
      <c r="R15" s="546"/>
      <c r="S15" s="546"/>
      <c r="T15" s="546"/>
      <c r="U15" s="546"/>
      <c r="V15" s="547"/>
    </row>
    <row r="16" spans="1:22" x14ac:dyDescent="0.25">
      <c r="A16" s="126"/>
      <c r="B16" s="127"/>
      <c r="C16" s="127"/>
      <c r="D16" s="150"/>
      <c r="E16" s="147"/>
      <c r="F16" s="150"/>
      <c r="G16" s="128"/>
      <c r="H16" s="11"/>
      <c r="I16" s="570"/>
      <c r="J16" s="571"/>
      <c r="K16" s="135"/>
      <c r="L16" s="136"/>
      <c r="M16" s="374"/>
      <c r="N16" s="137"/>
      <c r="P16" s="545"/>
      <c r="Q16" s="546"/>
      <c r="R16" s="546"/>
      <c r="S16" s="546"/>
      <c r="T16" s="546"/>
      <c r="U16" s="546"/>
      <c r="V16" s="547"/>
    </row>
    <row r="17" spans="1:22" x14ac:dyDescent="0.25">
      <c r="A17" s="126"/>
      <c r="B17" s="127"/>
      <c r="C17" s="127"/>
      <c r="D17" s="150"/>
      <c r="E17" s="147"/>
      <c r="F17" s="150"/>
      <c r="G17" s="128"/>
      <c r="H17" s="11"/>
      <c r="I17" s="570"/>
      <c r="J17" s="571"/>
      <c r="K17" s="135"/>
      <c r="L17" s="136"/>
      <c r="M17" s="374"/>
      <c r="N17" s="137"/>
      <c r="P17" s="545"/>
      <c r="Q17" s="546"/>
      <c r="R17" s="546"/>
      <c r="S17" s="546"/>
      <c r="T17" s="546"/>
      <c r="U17" s="546"/>
      <c r="V17" s="547"/>
    </row>
    <row r="18" spans="1:22" x14ac:dyDescent="0.25">
      <c r="A18" s="126"/>
      <c r="B18" s="127"/>
      <c r="C18" s="127"/>
      <c r="D18" s="150"/>
      <c r="E18" s="147"/>
      <c r="F18" s="150"/>
      <c r="G18" s="128"/>
      <c r="H18" s="11"/>
      <c r="I18" s="570"/>
      <c r="J18" s="571"/>
      <c r="K18" s="135"/>
      <c r="L18" s="136"/>
      <c r="M18" s="374"/>
      <c r="N18" s="137"/>
      <c r="P18" s="545"/>
      <c r="Q18" s="546"/>
      <c r="R18" s="546"/>
      <c r="S18" s="546"/>
      <c r="T18" s="546"/>
      <c r="U18" s="546"/>
      <c r="V18" s="547"/>
    </row>
    <row r="19" spans="1:22" x14ac:dyDescent="0.25">
      <c r="A19" s="129"/>
      <c r="B19" s="130"/>
      <c r="C19" s="130"/>
      <c r="D19" s="370"/>
      <c r="E19" s="148"/>
      <c r="F19" s="370"/>
      <c r="G19" s="131"/>
      <c r="H19" s="11"/>
      <c r="I19" s="570"/>
      <c r="J19" s="571"/>
      <c r="K19" s="135"/>
      <c r="L19" s="136"/>
      <c r="M19" s="374"/>
      <c r="N19" s="137"/>
      <c r="P19" s="545"/>
      <c r="Q19" s="546"/>
      <c r="R19" s="546"/>
      <c r="S19" s="546"/>
      <c r="T19" s="546"/>
      <c r="U19" s="546"/>
      <c r="V19" s="547"/>
    </row>
    <row r="20" spans="1:22" x14ac:dyDescent="0.25">
      <c r="A20" s="129"/>
      <c r="B20" s="130"/>
      <c r="C20" s="130"/>
      <c r="D20" s="370"/>
      <c r="E20" s="148"/>
      <c r="F20" s="370"/>
      <c r="G20" s="131"/>
      <c r="H20" s="11"/>
      <c r="I20" s="570"/>
      <c r="J20" s="571"/>
      <c r="K20" s="135"/>
      <c r="L20" s="136"/>
      <c r="M20" s="374"/>
      <c r="N20" s="137"/>
      <c r="P20" s="545"/>
      <c r="Q20" s="546"/>
      <c r="R20" s="546"/>
      <c r="S20" s="546"/>
      <c r="T20" s="546"/>
      <c r="U20" s="546"/>
      <c r="V20" s="547"/>
    </row>
    <row r="21" spans="1:22" x14ac:dyDescent="0.25">
      <c r="A21" s="129"/>
      <c r="B21" s="130"/>
      <c r="C21" s="130"/>
      <c r="D21" s="370"/>
      <c r="E21" s="148"/>
      <c r="F21" s="370"/>
      <c r="G21" s="131"/>
      <c r="H21" s="11"/>
      <c r="I21" s="570"/>
      <c r="J21" s="571"/>
      <c r="K21" s="135"/>
      <c r="L21" s="136"/>
      <c r="M21" s="374"/>
      <c r="N21" s="137"/>
      <c r="P21" s="545"/>
      <c r="Q21" s="546"/>
      <c r="R21" s="546"/>
      <c r="S21" s="546"/>
      <c r="T21" s="546"/>
      <c r="U21" s="546"/>
      <c r="V21" s="547"/>
    </row>
    <row r="22" spans="1:22" x14ac:dyDescent="0.25">
      <c r="A22" s="129"/>
      <c r="B22" s="130"/>
      <c r="C22" s="130"/>
      <c r="D22" s="370"/>
      <c r="E22" s="148"/>
      <c r="F22" s="370"/>
      <c r="G22" s="131"/>
      <c r="H22" s="11"/>
      <c r="I22" s="570"/>
      <c r="J22" s="571"/>
      <c r="K22" s="135"/>
      <c r="L22" s="136"/>
      <c r="M22" s="374"/>
      <c r="N22" s="137"/>
      <c r="P22" s="545"/>
      <c r="Q22" s="546"/>
      <c r="R22" s="546"/>
      <c r="S22" s="546"/>
      <c r="T22" s="546"/>
      <c r="U22" s="546"/>
      <c r="V22" s="547"/>
    </row>
    <row r="23" spans="1:22" ht="15.75" thickBot="1" x14ac:dyDescent="0.3">
      <c r="A23" s="132"/>
      <c r="B23" s="133"/>
      <c r="C23" s="133"/>
      <c r="D23" s="371"/>
      <c r="E23" s="149"/>
      <c r="F23" s="371"/>
      <c r="G23" s="134"/>
      <c r="H23" s="11"/>
      <c r="I23" s="563"/>
      <c r="J23" s="564"/>
      <c r="K23" s="138"/>
      <c r="L23" s="139"/>
      <c r="M23" s="375"/>
      <c r="N23" s="140"/>
      <c r="O23" s="11"/>
      <c r="P23" s="545"/>
      <c r="Q23" s="546"/>
      <c r="R23" s="546"/>
      <c r="S23" s="546"/>
      <c r="T23" s="546"/>
      <c r="U23" s="546"/>
      <c r="V23" s="547"/>
    </row>
    <row r="24" spans="1:22" ht="15.75" thickBot="1" x14ac:dyDescent="0.3">
      <c r="A24" s="11"/>
      <c r="B24" s="11"/>
      <c r="C24" s="11"/>
      <c r="D24" s="203" t="s">
        <v>61</v>
      </c>
      <c r="E24" s="424">
        <f>SUMIFS($E$13:$E$23,$D$13:$D$23,"&gt;="&amp;DATE(($B$1-1),10,1),$D$13:$D$23,"&lt;="&amp;EOMONTH(DATE(($B$1),7,1),2))</f>
        <v>0</v>
      </c>
      <c r="F24" s="426"/>
      <c r="G24" s="425">
        <f>SUMIFS($G$13:$G$23,$F$13:$F$23,"&gt;="&amp;DATE(($B$1-1),10,1),$F$13:$F$23,"&lt;="&amp;EOMONTH(DATE(($B$1),7,1),2))</f>
        <v>0</v>
      </c>
      <c r="H24" s="11"/>
      <c r="I24" s="202"/>
      <c r="J24" s="202"/>
      <c r="K24" s="372" t="s">
        <v>61</v>
      </c>
      <c r="L24" s="373">
        <f>SUM(L13:L23)</f>
        <v>0</v>
      </c>
      <c r="M24" s="376"/>
      <c r="N24" s="373">
        <f>SUM(N13:N23)</f>
        <v>0</v>
      </c>
      <c r="O24" s="11"/>
      <c r="P24" s="545"/>
      <c r="Q24" s="546"/>
      <c r="R24" s="546"/>
      <c r="S24" s="546"/>
      <c r="T24" s="546"/>
      <c r="U24" s="546"/>
      <c r="V24" s="547"/>
    </row>
    <row r="25" spans="1:22" ht="15.75" thickBot="1" x14ac:dyDescent="0.3">
      <c r="A25" s="11"/>
      <c r="B25" s="11"/>
      <c r="C25" s="11"/>
      <c r="D25" s="11"/>
      <c r="F25" s="205" t="s">
        <v>64</v>
      </c>
      <c r="G25" s="204">
        <f>E24-G24</f>
        <v>0</v>
      </c>
      <c r="H25" s="11"/>
      <c r="I25" s="11"/>
      <c r="J25" s="11"/>
      <c r="K25" s="11"/>
      <c r="L25" s="11"/>
      <c r="M25" s="205" t="s">
        <v>64</v>
      </c>
      <c r="N25" s="204">
        <f>L24-N24</f>
        <v>0</v>
      </c>
      <c r="P25" s="548"/>
      <c r="Q25" s="549"/>
      <c r="R25" s="549"/>
      <c r="S25" s="549"/>
      <c r="T25" s="549"/>
      <c r="U25" s="549"/>
      <c r="V25" s="550"/>
    </row>
    <row r="26" spans="1:22" ht="3.75" customHeight="1" thickBot="1" x14ac:dyDescent="0.3"/>
    <row r="27" spans="1:22" ht="25.5" x14ac:dyDescent="0.25">
      <c r="A27" s="522" t="s">
        <v>313</v>
      </c>
      <c r="B27" s="523"/>
      <c r="C27" s="524"/>
      <c r="D27" s="428" t="s">
        <v>7</v>
      </c>
      <c r="E27" s="429" t="s">
        <v>44</v>
      </c>
      <c r="F27" s="430" t="s">
        <v>140</v>
      </c>
      <c r="G27" s="431" t="s">
        <v>141</v>
      </c>
      <c r="H27" s="431" t="s">
        <v>142</v>
      </c>
      <c r="I27" s="432" t="s">
        <v>143</v>
      </c>
      <c r="J27" s="433" t="s">
        <v>144</v>
      </c>
      <c r="K27" s="433" t="s">
        <v>145</v>
      </c>
      <c r="L27" s="434" t="s">
        <v>146</v>
      </c>
      <c r="M27" s="435" t="s">
        <v>147</v>
      </c>
      <c r="N27" s="435" t="s">
        <v>148</v>
      </c>
      <c r="O27" s="436" t="s">
        <v>149</v>
      </c>
      <c r="P27" s="437" t="s">
        <v>150</v>
      </c>
      <c r="Q27" s="438" t="s">
        <v>151</v>
      </c>
      <c r="U27" s="103"/>
    </row>
    <row r="28" spans="1:22" x14ac:dyDescent="0.25">
      <c r="A28" s="534" t="s">
        <v>305</v>
      </c>
      <c r="B28" s="535"/>
      <c r="C28" s="535"/>
      <c r="D28" s="439">
        <f>SUM(F28,I28,L28,O28)</f>
        <v>0</v>
      </c>
      <c r="E28" s="440">
        <f>SUM(G28,J28,M28,P28)</f>
        <v>0</v>
      </c>
      <c r="F28" s="441">
        <f>SUMIFS(BOOTHPLC,BOOTHPLD,"&gt;="&amp;BPOCT,BOOTHPLD,"&lt;="&amp;EOMONTH(BPOCT,2),BOOTHGRP,$A28)+
SUMIFS(SMPLC,SMPLD,"&gt;="&amp;SPOCT,SMPLD,"&lt;="&amp;EOMONTH(SPOCT,2),SMGRP,$A28)+
SUMIFS(IJPLC,IJPLD,"&gt;="&amp;IPOCT,IJPLD,"&lt;="&amp;EOMONTH(IPOCT,2),IJGRP,$A28)</f>
        <v>0</v>
      </c>
      <c r="G28" s="442">
        <f>SUMIFS(BOOTHACC,BOOTHDAP,"&gt;="&amp;BPOCT,BOOTHDAP,"&lt;="&amp;EOMONTH(BPOCT,2),BOOTHGRP,$A28)+
SUMIFS(SMACC,SMDAP,"&gt;="&amp;SPOCT,SMDAP,"&lt;="&amp;EOMONTH(SPOCT,2),SMGRP,$A28)+
SUMIFS(IJACC,IJDAP,"&gt;="&amp;IPOCT,IJDAP,"&lt;="&amp;EOMONTH(IPOCT,2),IJGRP,$A28)</f>
        <v>0</v>
      </c>
      <c r="H28" s="442">
        <f>F28-G28</f>
        <v>0</v>
      </c>
      <c r="I28" s="443">
        <f>SUMIFS(BOOTHPLC,BOOTHPLD,"&gt;="&amp;BPJAN,BOOTHPLD,"&lt;="&amp;EOMONTH(BPJAN,2),BOOTHGRP,$A28)+SUMIFS(SMPLC,SMPLD,"&gt;="&amp;SPJAN,SMPLD,"&lt;="&amp;EOMONTH(SPJAN,2),SMGRP,$A28)+SUMIFS(IJPLC,IJPLD,"&gt;="&amp;IPJAN,IJPLD,"&lt;="&amp;EOMONTH(IPJAN,2),IJGRP,$A28)</f>
        <v>0</v>
      </c>
      <c r="J28" s="444">
        <f>SUMIFS(BOOTHACC,BOOTHDAP,"&gt;="&amp;BPJAN,BOOTHDAP,"&lt;="&amp;EOMONTH(BPJAN,2),BOOTHGRP,$A28)+
SUMIFS(SMACC,SMDAP,"&gt;="&amp;SPJAN,SMDAP,"&lt;="&amp;EOMONTH(SPJAN,2),SMGRP,$A28)+
SUMIFS(IJACC,IJDAP,"&gt;="&amp;IPJAN,IJDAP,"&lt;="&amp;EOMONTH(IPJAN,2),IJGRP,$A28)</f>
        <v>0</v>
      </c>
      <c r="K28" s="444">
        <f>I28-J28</f>
        <v>0</v>
      </c>
      <c r="L28" s="445">
        <f>SUMIFS(BOOTHPLC,BOOTHPLD,"&gt;="&amp;BPAPR,BOOTHPLD,"&lt;="&amp;EOMONTH(BPAPR,2),BOOTHGRP,$A28)+SUMIFS(SMPLC,SMPLD,"&gt;="&amp;SPAPR,SMPLD,"&lt;="&amp;EOMONTH(SPAPR,2),SMGRP,$A28)+SUMIFS(IJPLC,IJPLD,"&gt;="&amp;IPAPR,IJPLD,"&lt;="&amp;EOMONTH(IPAPR,2),IJGRP,$A28)</f>
        <v>0</v>
      </c>
      <c r="M28" s="446">
        <f>SUMIFS(BOOTHACC,BOOTHDAP,"&gt;="&amp;BPAPR,BOOTHDAP,"&lt;="&amp;EOMONTH(BPAPR,2),BOOTHGRP,$A28)+
SUMIFS(SMACC,SMDAP,"&gt;="&amp;SPAPR,SMDAP,"&lt;="&amp;EOMONTH(SPAPR,2),SMGRP,$A28)+
SUMIFS(IJACC,IJDAP,"&gt;="&amp;IPAPR,IJDAP,"&lt;="&amp;EOMONTH(IPAPR,2),IJGRP,$A28)</f>
        <v>0</v>
      </c>
      <c r="N28" s="446">
        <f>L28-M28</f>
        <v>0</v>
      </c>
      <c r="O28" s="447">
        <f>SUMIFS(BOOTHPLC,BOOTHPLD,"&gt;="&amp;BPJUL,BOOTHPLD,"&lt;="&amp;EOMONTH(BPJUL,2),BOOTHGRP,$A28)+SUMIFS(SMPLC,SMPLD,"&gt;="&amp;SPJUL,SMPLD,"&lt;="&amp;EOMONTH(SPJUL,2),SMGRP,$A28)+SUMIFS(IJPLC,IJPLD,"&gt;="&amp;IPJUL,IJPLD,"&lt;="&amp;EOMONTH(IPJUL,2),IJGRP,$A28)</f>
        <v>0</v>
      </c>
      <c r="P28" s="448">
        <f>SUMIFS(BOOTHACC,BOOTHDAP,"&gt;="&amp;BPJUL,BOOTHDAP,"&lt;="&amp;EOMONTH(BPJUL,2),BOOTHGRP,$A28)+
SUMIFS(SMACC,SMDAP,"&gt;="&amp;SPJUL,SMDAP,"&lt;="&amp;EOMONTH(SPJUL,2),SMGRP,$A28)+
SUMIFS(IJACC,IJDAP,"&gt;="&amp;IPJUL,IJDAP,"&lt;="&amp;EOMONTH(IPJUL,2),IJGRP,$A28)</f>
        <v>0</v>
      </c>
      <c r="Q28" s="449">
        <f t="shared" ref="Q28:Q31" si="6">O28-P28</f>
        <v>0</v>
      </c>
      <c r="U28" s="104"/>
    </row>
    <row r="29" spans="1:22" x14ac:dyDescent="0.25">
      <c r="A29" s="536" t="s">
        <v>304</v>
      </c>
      <c r="B29" s="537"/>
      <c r="C29" s="537"/>
      <c r="D29" s="439">
        <f>SUM(F29,I29,L29,O29)</f>
        <v>0</v>
      </c>
      <c r="E29" s="440">
        <f t="shared" ref="D29:E31" si="7">SUM(G29,J29,M29,P29)</f>
        <v>0</v>
      </c>
      <c r="F29" s="441">
        <f>SUMIFS(BOOTHPLC,BOOTHPLD,"&gt;="&amp;BPOCT,BOOTHPLD,"&lt;="&amp;EOMONTH(BPOCT,2),BOOTHGRP,$A29)+
SUMIFS(SMPLC,SMPLD,"&gt;="&amp;SPOCT,SMPLD,"&lt;="&amp;EOMONTH(SPOCT,2),SMGRP,$A29)+
SUMIFS(IJPLC,IJPLD,"&gt;="&amp;IPOCT,IJPLD,"&lt;="&amp;EOMONTH(IPOCT,2),IJGRP,$A29)+F34</f>
        <v>0</v>
      </c>
      <c r="G29" s="442">
        <f>SUMIFS(BOOTHACC,BOOTHDAP,"&gt;="&amp;BPOCT,BOOTHDAP,"&lt;="&amp;EOMONTH(BPOCT,2),BOOTHGRP,$A29)+
SUMIFS(SMACC,SMDAP,"&gt;="&amp;SPOCT,SMDAP,"&lt;="&amp;EOMONTH(SPOCT,2),SMGRP,$A29)+
SUMIFS(IJACC,IJDAP,"&gt;="&amp;IPOCT,IJDAP,"&lt;="&amp;EOMONTH(IPOCT,2),IJGRP,$A29)+G34</f>
        <v>0</v>
      </c>
      <c r="H29" s="442">
        <f>F29-G29</f>
        <v>0</v>
      </c>
      <c r="I29" s="443">
        <f>SUMIFS(BOOTHPLC,BOOTHPLD,"&gt;="&amp;BPJAN,BOOTHPLD,"&lt;="&amp;EOMONTH(BPJAN,2),BOOTHGRP,$A29)+
SUMIFS(SMPLC,SMPLD,"&gt;="&amp;SPJAN,SMPLD,"&lt;="&amp;EOMONTH(SPJAN,2),SMGRP,$A29)+
SUMIFS(IJPLC,IJPLD,"&gt;="&amp;IPJAN,IJPLD,"&lt;="&amp;EOMONTH(IPJAN,2),IJGRP,$A29)+I34</f>
        <v>0</v>
      </c>
      <c r="J29" s="444">
        <f>SUMIFS(BOOTHACC,BOOTHDAP,"&gt;="&amp;BPJAN,BOOTHDAP,"&lt;="&amp;EOMONTH(BPJAN,2),BOOTHGRP,$A29)+
SUMIFS(SMACC,SMDAP,"&gt;="&amp;SPJAN,SMDAP,"&lt;="&amp;EOMONTH(SPJAN,2),SMGRP,$A29)+
SUMIFS(IJACC,IJDAP,"&gt;="&amp;IPJAN,IJDAP,"&lt;="&amp;EOMONTH(IPJAN,2),IJGRP,$A29)+J34</f>
        <v>0</v>
      </c>
      <c r="K29" s="444">
        <f t="shared" ref="K29:K31" si="8">I29-J29</f>
        <v>0</v>
      </c>
      <c r="L29" s="445">
        <f>SUMIFS(BOOTHPLC,BOOTHPLD,"&gt;="&amp;BPAPR,BOOTHPLD,"&lt;="&amp;EOMONTH(BPAPR,2),BOOTHGRP,$A29)+
SUMIFS(SMPLC,SMPLD,"&gt;="&amp;SPAPR,SMPLD,"&lt;="&amp;EOMONTH(SPAPR,2),SMGRP,$A29)+
SUMIFS(IJPLC,IJPLD,"&gt;="&amp;IPAPR,IJPLD,"&lt;="&amp;EOMONTH(IPAPR,2),IJGRP,$A29)+L34</f>
        <v>0</v>
      </c>
      <c r="M29" s="446">
        <f>SUMIFS(BOOTHACC,BOOTHDAP,"&gt;="&amp;BPAPR,BOOTHDAP,"&lt;="&amp;EOMONTH(BPAPR,2),BOOTHGRP,$A29)+
SUMIFS(SMACC,SMDAP,"&gt;="&amp;SPAPR,SMDAP,"&lt;="&amp;EOMONTH(SPAPR,2),SMGRP,$A29)+
SUMIFS(IJACC,IJDAP,"&gt;="&amp;IPAPR,IJDAP,"&lt;="&amp;EOMONTH(IPAPR,2),IJGRP,$A29)+M34</f>
        <v>0</v>
      </c>
      <c r="N29" s="446">
        <f t="shared" ref="N29:N31" si="9">L29-M29</f>
        <v>0</v>
      </c>
      <c r="O29" s="447">
        <f>SUMIFS(BOOTHPLC,BOOTHPLD,"&gt;="&amp;BPJUL,BOOTHPLD,"&lt;="&amp;EOMONTH(BPJUL,2),BOOTHGRP,$A29)+
SUMIFS(SMPLC,SMPLD,"&gt;="&amp;SPJUL,SMPLD,"&lt;="&amp;EOMONTH(SPJUL,2),SMGRP,$A29)+
SUMIFS(IJPLC,IJPLD,"&gt;="&amp;IPJUL,IJPLD,"&lt;="&amp;EOMONTH(IPJUL,2),IJGRP,$A29)+O34</f>
        <v>0</v>
      </c>
      <c r="P29" s="448">
        <f>SUMIFS(BOOTHACC,BOOTHDAP,"&gt;="&amp;BPJUL,BOOTHDAP,"&lt;="&amp;EOMONTH(BPJUL,2),BOOTHGRP,$A29)+
SUMIFS(SMACC,SMDAP,"&gt;="&amp;SPJUL,SMDAP,"&lt;="&amp;EOMONTH(SPJUL,2),SMGRP,$A29)+
SUMIFS(IJACC,IJDAP,"&gt;="&amp;IPJUL,IJDAP,"&lt;="&amp;EOMONTH(IPJUL,2),IJGRP,$A29)+P34</f>
        <v>0</v>
      </c>
      <c r="Q29" s="449">
        <f t="shared" si="6"/>
        <v>0</v>
      </c>
      <c r="U29" s="105"/>
    </row>
    <row r="30" spans="1:22" x14ac:dyDescent="0.25">
      <c r="A30" s="536" t="s">
        <v>307</v>
      </c>
      <c r="B30" s="537"/>
      <c r="C30" s="537"/>
      <c r="D30" s="439">
        <f t="shared" si="7"/>
        <v>0</v>
      </c>
      <c r="E30" s="440">
        <f t="shared" si="7"/>
        <v>0</v>
      </c>
      <c r="F30" s="441">
        <f>SUMIFS(BOOTHPLC,BOOTHPLD,"&gt;="&amp;BPOCT,BOOTHPLD,"&lt;="&amp;EOMONTH(BPOCT,2),BOOTHGRP,$A30)+SUMIFS(SMPLC,SMPLD,"&gt;="&amp;SPOCT,SMPLD,"&lt;="&amp;EOMONTH(SPOCT,2),SMGRP,$A30)+SUMIFS(IJPLC,IJPLD,"&gt;="&amp;IPOCT,IJPLD,"&lt;="&amp;EOMONTH(IPOCT,2),IJGRP,$A30)</f>
        <v>0</v>
      </c>
      <c r="G30" s="442">
        <f>SUMIFS(BOOTHACC,BOOTHDAP,"&gt;="&amp;BPOCT,BOOTHDAP,"&lt;="&amp;EOMONTH(BPOCT,2),BOOTHGRP,$A30)+
SUMIFS(SMACC,SMDAP,"&gt;="&amp;SPOCT,SMDAP,"&lt;="&amp;EOMONTH(SPOCT,2),SMGRP,$A30)+
SUMIFS(IJACC,IJDAP,"&gt;="&amp;IPOCT,IJDAP,"&lt;="&amp;EOMONTH(IPOCT,2),IJGRP,$A30)</f>
        <v>0</v>
      </c>
      <c r="H30" s="442">
        <f t="shared" ref="H30:H31" si="10">F30-G30</f>
        <v>0</v>
      </c>
      <c r="I30" s="443">
        <f>SUMIFS(BOOTHPLC,BOOTHPLD,"&gt;="&amp;BPJAN,BOOTHPLD,"&lt;="&amp;EOMONTH(BPJAN,2),BOOTHGRP,$A30)+SUMIFS(SMPLC,SMPLD,"&gt;="&amp;SPJAN,SMPLD,"&lt;="&amp;EOMONTH(SPJAN,2),SMGRP,$A30)+SUMIFS(IJPLC,IJPLD,"&gt;="&amp;IPJAN,IJPLD,"&lt;="&amp;EOMONTH(IPJAN,2),IJGRP,$A30)</f>
        <v>0</v>
      </c>
      <c r="J30" s="444">
        <f>SUMIFS(BOOTHACC,BOOTHDAP,"&gt;="&amp;BPJAN,BOOTHDAP,"&lt;="&amp;EOMONTH(BPJAN,2),BOOTHGRP,$A30)+
SUMIFS(SMACC,SMDAP,"&gt;="&amp;SPJAN,SMDAP,"&lt;="&amp;EOMONTH(SPJAN,2),SMGRP,$A30)+
SUMIFS(IJACC,IJDAP,"&gt;="&amp;IPJAN,IJDAP,"&lt;="&amp;EOMONTH(IPJAN,2),IJGRP,$A30)</f>
        <v>0</v>
      </c>
      <c r="K30" s="444">
        <f t="shared" si="8"/>
        <v>0</v>
      </c>
      <c r="L30" s="445">
        <f>SUMIFS(BOOTHPLC,BOOTHPLD,"&gt;="&amp;BPAPR,BOOTHPLD,"&lt;="&amp;EOMONTH(BPAPR,2),BOOTHGRP,$A30)+SUMIFS(SMPLC,SMPLD,"&gt;="&amp;SPAPR,SMPLD,"&lt;="&amp;EOMONTH(SPAPR,2),SMGRP,$A30)+SUMIFS(IJPLC,IJPLD,"&gt;="&amp;IPAPR,IJPLD,"&lt;="&amp;EOMONTH(IPAPR,2),IJGRP,$A30)</f>
        <v>0</v>
      </c>
      <c r="M30" s="446">
        <f>SUMIFS(BOOTHACC,BOOTHDAP,"&gt;="&amp;BPAPR,BOOTHDAP,"&lt;="&amp;EOMONTH(BPAPR,2),BOOTHGRP,$A30)+
SUMIFS(SMACC,SMDAP,"&gt;="&amp;SPAPR,SMDAP,"&lt;="&amp;EOMONTH(SPAPR,2),SMGRP,$A30)+
SUMIFS(IJACC,IJDAP,"&gt;="&amp;IPAPR,IJDAP,"&lt;="&amp;EOMONTH(IPAPR,2),IJGRP,$A30)</f>
        <v>0</v>
      </c>
      <c r="N30" s="446">
        <f t="shared" si="9"/>
        <v>0</v>
      </c>
      <c r="O30" s="447">
        <f>SUMIFS(BOOTHPLC,BOOTHPLD,"&gt;="&amp;BPJUL,BOOTHPLD,"&lt;="&amp;EOMONTH(BPJUL,2),BOOTHGRP,$A30)+SUMIFS(SMPLC,SMPLD,"&gt;="&amp;SPJUL,SMPLD,"&lt;="&amp;EOMONTH(SPJUL,2),SMGRP,$A30)+SUMIFS(IJPLC,IJPLD,"&gt;="&amp;IPJUL,IJPLD,"&lt;="&amp;EOMONTH(IPJUL,2),IJGRP,$A30)</f>
        <v>0</v>
      </c>
      <c r="P30" s="448">
        <f>SUMIFS(BOOTHACC,BOOTHDAP,"&gt;="&amp;BPJUL,BOOTHDAP,"&lt;="&amp;EOMONTH(BPJUL,2),BOOTHGRP,$A30)+
SUMIFS(SMACC,SMDAP,"&gt;="&amp;SPJUL,SMDAP,"&lt;="&amp;EOMONTH(SPJUL,2),SMGRP,$A30)+
SUMIFS(IJACC,IJDAP,"&gt;="&amp;IPJUL,IJDAP,"&lt;="&amp;EOMONTH(IPJUL,2),IJGRP,$A30)</f>
        <v>0</v>
      </c>
      <c r="Q30" s="449">
        <f t="shared" si="6"/>
        <v>0</v>
      </c>
      <c r="U30" s="105"/>
    </row>
    <row r="31" spans="1:22" ht="15.75" thickBot="1" x14ac:dyDescent="0.3">
      <c r="A31" s="538" t="s">
        <v>308</v>
      </c>
      <c r="B31" s="539"/>
      <c r="C31" s="539"/>
      <c r="D31" s="450">
        <f t="shared" si="7"/>
        <v>0</v>
      </c>
      <c r="E31" s="451">
        <f t="shared" si="7"/>
        <v>0</v>
      </c>
      <c r="F31" s="452">
        <f>SUMIFS(BOOTHPLC,BOOTHPLD,"&gt;="&amp;BPOCT,BOOTHPLD,"&lt;="&amp;EOMONTH(BPOCT,2),BOOTHGRP,$A31)+
SUMIFS(SMPLC,SMPLD,"&gt;="&amp;SPOCT,SMPLD,"&lt;="&amp;EOMONTH(SPOCT,2),SMGRP,$A31)+
SUMIFS(IJPLC,IJPLD,"&gt;="&amp;IPOCT,IJPLD,"&lt;="&amp;EOMONTH(IPOCT,2),IJGRP,$A31)+F35</f>
        <v>0</v>
      </c>
      <c r="G31" s="453">
        <f>SUMIFS(BOOTHACC,BOOTHDAP,"&gt;="&amp;BPOCT,BOOTHDAP,"&lt;="&amp;EOMONTH(BPOCT,2),BOOTHGRP,$A31)+
SUMIFS(SMACC,SMDAP,"&gt;="&amp;SPOCT,SMDAP,"&lt;="&amp;EOMONTH(SPOCT,2),SMGRP,$A31)+
SUMIFS(IJACC,IJDAP,"&gt;="&amp;IPOCT,IJDAP,"&lt;="&amp;EOMONTH(IPOCT,2),IJGRP,$A31)+G35</f>
        <v>0</v>
      </c>
      <c r="H31" s="453">
        <f t="shared" si="10"/>
        <v>0</v>
      </c>
      <c r="I31" s="454">
        <f>SUMIFS(BOOTHPLC,BOOTHPLD,"&gt;="&amp;BPJAN,BOOTHPLD,"&lt;="&amp;EOMONTH(BPJAN,2),BOOTHGRP,$A31)+
SUMIFS(SMPLC,SMPLD,"&gt;="&amp;SPJAN,SMPLD,"&lt;="&amp;EOMONTH(SPJAN,2),SMGRP,$A31)+
SUMIFS(IJPLC,IJPLD,"&gt;="&amp;IPJAN,IJPLD,"&lt;="&amp;EOMONTH(IPJAN,2),IJGRP,$A31)+I35</f>
        <v>0</v>
      </c>
      <c r="J31" s="455">
        <f>SUMIFS(BOOTHACC,BOOTHDAP,"&gt;="&amp;BPJAN,BOOTHDAP,"&lt;="&amp;EOMONTH(BPJAN,2),BOOTHGRP,$A31)+
SUMIFS(SMACC,SMDAP,"&gt;="&amp;SPJAN,SMDAP,"&lt;="&amp;EOMONTH(SPJAN,2),SMGRP,$A31)+
SUMIFS(IJACC,IJDAP,"&gt;="&amp;IPJAN,IJDAP,"&lt;="&amp;EOMONTH(IPJAN,2),IJGRP,$A31)+J35</f>
        <v>0</v>
      </c>
      <c r="K31" s="455">
        <f t="shared" si="8"/>
        <v>0</v>
      </c>
      <c r="L31" s="456">
        <f>SUMIFS(BOOTHPLC,BOOTHPLD,"&gt;="&amp;BPAPR,BOOTHPLD,"&lt;="&amp;EOMONTH(BPAPR,2),BOOTHGRP,$A31)+
SUMIFS(SMPLC,SMPLD,"&gt;="&amp;SPAPR,SMPLD,"&lt;="&amp;EOMONTH(SPAPR,2),SMGRP,$A31)+
SUMIFS(IJPLC,IJPLD,"&gt;="&amp;IPAPR,IJPLD,"&lt;="&amp;EOMONTH(IPAPR,2),IJGRP,$A31)+L35</f>
        <v>0</v>
      </c>
      <c r="M31" s="457">
        <f>SUMIFS(BOOTHACC,BOOTHDAP,"&gt;="&amp;BPAPR,BOOTHDAP,"&lt;="&amp;EOMONTH(BPAPR,2),BOOTHGRP,$A31)+
SUMIFS(SMACC,SMDAP,"&gt;="&amp;SPAPR,SMDAP,"&lt;="&amp;EOMONTH(SPAPR,2),SMGRP,$A31)+
SUMIFS(IJACC,IJDAP,"&gt;="&amp;IPAPR,IJDAP,"&lt;="&amp;EOMONTH(IPAPR,2),IJGRP,$A31)+M35</f>
        <v>0</v>
      </c>
      <c r="N31" s="457">
        <f t="shared" si="9"/>
        <v>0</v>
      </c>
      <c r="O31" s="458">
        <f>SUMIFS(BOOTHPLC,BOOTHPLD,"&gt;="&amp;BPJUL,BOOTHPLD,"&lt;="&amp;EOMONTH(BPJUL,2),BOOTHGRP,$A31)+
SUMIFS(SMPLC,SMPLD,"&gt;="&amp;SPJUL,SMPLD,"&lt;="&amp;EOMONTH(SPJUL,2),SMGRP,$A31)+
SUMIFS(IJPLC,IJPLD,"&gt;="&amp;IPJUL,IJPLD,"&lt;="&amp;EOMONTH(IPJUL,2),IJGRP,$A31)+O35</f>
        <v>0</v>
      </c>
      <c r="P31" s="459">
        <f>SUMIFS(BOOTHACC,BOOTHDAP,"&gt;="&amp;BPJUL,BOOTHDAP,"&lt;="&amp;EOMONTH(BPJUL,2),BOOTHGRP,$A31)+
SUMIFS(SMACC,SMDAP,"&gt;="&amp;SPJUL,SMDAP,"&lt;="&amp;EOMONTH(SPJUL,2),SMGRP,$A31)+
SUMIFS(IJACC,IJDAP,"&gt;="&amp;IPJUL,IJDAP,"&lt;="&amp;EOMONTH(IPJUL,2),IJGRP,$A31)+P35</f>
        <v>0</v>
      </c>
      <c r="Q31" s="460">
        <f t="shared" si="6"/>
        <v>0</v>
      </c>
    </row>
    <row r="32" spans="1:22" ht="15.75" thickBot="1" x14ac:dyDescent="0.3">
      <c r="A32" s="540" t="s">
        <v>43</v>
      </c>
      <c r="B32" s="541"/>
      <c r="C32" s="541"/>
      <c r="D32" s="461">
        <f>SUM(D28:D31)</f>
        <v>0</v>
      </c>
      <c r="E32" s="462">
        <f>SUM(E28:E31)</f>
        <v>0</v>
      </c>
      <c r="F32" s="463">
        <f>SUM(F28:F31)</f>
        <v>0</v>
      </c>
      <c r="G32" s="464">
        <f>SUM(G28:G31)</f>
        <v>0</v>
      </c>
      <c r="H32" s="464">
        <f t="shared" ref="H32:Q32" si="11">SUM(H28:H31)</f>
        <v>0</v>
      </c>
      <c r="I32" s="465">
        <f t="shared" si="11"/>
        <v>0</v>
      </c>
      <c r="J32" s="466">
        <f t="shared" si="11"/>
        <v>0</v>
      </c>
      <c r="K32" s="466">
        <f t="shared" si="11"/>
        <v>0</v>
      </c>
      <c r="L32" s="467">
        <f t="shared" si="11"/>
        <v>0</v>
      </c>
      <c r="M32" s="468">
        <f t="shared" si="11"/>
        <v>0</v>
      </c>
      <c r="N32" s="468">
        <f t="shared" si="11"/>
        <v>0</v>
      </c>
      <c r="O32" s="469">
        <f t="shared" si="11"/>
        <v>0</v>
      </c>
      <c r="P32" s="470">
        <f t="shared" si="11"/>
        <v>0</v>
      </c>
      <c r="Q32" s="471">
        <f t="shared" si="11"/>
        <v>0</v>
      </c>
    </row>
    <row r="33" spans="1:17" ht="15.75" thickBot="1" x14ac:dyDescent="0.3">
      <c r="A33" s="507"/>
      <c r="B33" s="508"/>
      <c r="C33" s="508"/>
      <c r="D33" s="508"/>
      <c r="E33" s="508"/>
      <c r="F33" s="508"/>
      <c r="G33" s="508"/>
      <c r="H33" s="508"/>
      <c r="I33" s="508"/>
      <c r="J33" s="508"/>
      <c r="K33" s="508"/>
      <c r="L33" s="508"/>
      <c r="M33" s="508"/>
      <c r="N33" s="508"/>
      <c r="O33" s="508"/>
      <c r="P33" s="508"/>
      <c r="Q33" s="509"/>
    </row>
    <row r="34" spans="1:17" x14ac:dyDescent="0.25">
      <c r="A34" s="510" t="s">
        <v>94</v>
      </c>
      <c r="B34" s="511"/>
      <c r="C34" s="511"/>
      <c r="D34" s="472">
        <f t="shared" ref="D34:E35" si="12">SUM(F34,I34,L34,O34)</f>
        <v>0</v>
      </c>
      <c r="E34" s="473">
        <f t="shared" si="12"/>
        <v>0</v>
      </c>
      <c r="F34" s="474">
        <f>SUMIFS(BOOTHPLC,BOOTHPLD,"&gt;="&amp;BPOCT,BOOTHPLD,"&lt;="&amp;EOMONTH(BPOCT,2),BOOTHGRP,$A34)+
SUMIFS(SMPLC,SMPLD,"&gt;="&amp;SPOCT,SMPLD,"&lt;="&amp;EOMONTH(SPOCT,2),SMGRP,$A34)+
SUMIFS(IJPLC,IJPLD,"&gt;="&amp;IPOCT,IJPLD,"&lt;="&amp;EOMONTH(IPOCT,2),IJGRP,$A34)</f>
        <v>0</v>
      </c>
      <c r="G34" s="475">
        <f>SUMIFS(BOOTHACC,BOOTHDAP,"&gt;="&amp;BPOCT,BOOTHDAP,"&lt;="&amp;EOMONTH(BPOCT,2),BOOTHGRP,$A34)+
SUMIFS(SMACC,SMDAP,"&gt;="&amp;SPOCT,SMDAP,"&lt;="&amp;EOMONTH(SPOCT,2),SMGRP,$A34)+
SUMIFS(IJACC,IJDAP,"&gt;="&amp;IPOCT,IJDAP,"&lt;="&amp;EOMONTH(IPOCT,2),IJGRP,$A34)</f>
        <v>0</v>
      </c>
      <c r="H34" s="476">
        <f>F34-G34</f>
        <v>0</v>
      </c>
      <c r="I34" s="477">
        <f>SUMIFS(BOOTHPLC,BOOTHPLD,"&gt;="&amp;BPJAN,BOOTHPLD,"&lt;="&amp;EOMONTH(BPJAN,2),BOOTHGRP,$A34)+
SUMIFS(SMPLC,SMPLD,"&gt;="&amp;SPJAN,SMPLD,"&lt;="&amp;EOMONTH(SPJAN,2),SMGRP,$A34)+
SUMIFS(IJPLC,IJPLD,"&gt;="&amp;IPJAN,IJPLD,"&lt;="&amp;EOMONTH(IPJAN,2),IJGRP,$A34)</f>
        <v>0</v>
      </c>
      <c r="J34" s="478">
        <f>SUMIFS(BOOTHACC,BOOTHDAP,"&gt;="&amp;BPJAN,BOOTHDAP,"&lt;="&amp;EOMONTH(BPJAN,2),BOOTHGRP,$A34)+
SUMIFS(SMACC,SMDAP,"&gt;="&amp;SPJAN,SMDAP,"&lt;="&amp;EOMONTH(SPJAN,2),SMGRP,$A34)+
SUMIFS(IJACC,IJDAP,"&gt;="&amp;IPJAN,IJDAP,"&lt;="&amp;EOMONTH(IPJAN,2),IJGRP,$A34)</f>
        <v>0</v>
      </c>
      <c r="K34" s="479">
        <f>I34-J34</f>
        <v>0</v>
      </c>
      <c r="L34" s="480">
        <f>SUMIFS(BOOTHPLC,BOOTHPLD,"&gt;="&amp;BPAPR,BOOTHPLD,"&lt;="&amp;EOMONTH(BPAPR,2),BOOTHGRP,$A34)+
SUMIFS(SMPLC,SMPLD,"&gt;="&amp;SPAPR,SMPLD,"&lt;="&amp;EOMONTH(SPAPR,2),SMGRP,$A34)+
SUMIFS(IJPLC,IJPLD,"&gt;="&amp;IPAPR,IJPLD,"&lt;="&amp;EOMONTH(IPAPR,2),IJGRP,$A34)</f>
        <v>0</v>
      </c>
      <c r="M34" s="481">
        <f>SUMIFS(BOOTHACC,BOOTHDAP,"&gt;="&amp;BPAPR,BOOTHDAP,"&lt;="&amp;EOMONTH(BPAPR,2),BOOTHGRP,$A34)+
SUMIFS(SMACC,SMDAP,"&gt;="&amp;SPAPR,SMDAP,"&lt;="&amp;EOMONTH(SPAPR,2),SMGRP,$A34)+
SUMIFS(IJACC,IJDAP,"&gt;="&amp;IPAPR,IJDAP,"&lt;="&amp;EOMONTH(IPAPR,2),IJGRP,$A34)</f>
        <v>0</v>
      </c>
      <c r="N34" s="482">
        <f>L34-M34</f>
        <v>0</v>
      </c>
      <c r="O34" s="483">
        <f>SUMIFS(BOOTHPLC,BOOTHPLD,"&gt;="&amp;BPJUL,BOOTHPLD,"&lt;="&amp;EOMONTH(BPJUL,2),BOOTHGRP,$A34)+
SUMIFS(SMPLC,SMPLD,"&gt;="&amp;SPJUL,SMPLD,"&lt;="&amp;EOMONTH(SPJUL,2),SMGRP,$A34)+
SUMIFS(IJPLC,IJPLD,"&gt;="&amp;IPJUL,IJPLD,"&lt;="&amp;EOMONTH(IPJUL,2),IJGRP,$A34)</f>
        <v>0</v>
      </c>
      <c r="P34" s="484">
        <f>SUMIFS(BOOTHACC,BOOTHDAP,"&gt;="&amp;BPJUL,BOOTHDAP,"&lt;="&amp;EOMONTH(BPJUL,2),BOOTHGRP,$A34)+
SUMIFS(SMACC,SMDAP,"&gt;="&amp;SPJUL,SMDAP,"&lt;="&amp;EOMONTH(SPJUL,2),SMGRP,$A34)+
SUMIFS(IJACC,IJDAP,"&gt;="&amp;IPJUL,IJDAP,"&lt;="&amp;EOMONTH(IPJUL,2),IJGRP,$A34)</f>
        <v>0</v>
      </c>
      <c r="Q34" s="485">
        <f>O34-P34</f>
        <v>0</v>
      </c>
    </row>
    <row r="35" spans="1:17" ht="15.75" thickBot="1" x14ac:dyDescent="0.3">
      <c r="A35" s="512" t="s">
        <v>309</v>
      </c>
      <c r="B35" s="513"/>
      <c r="C35" s="513"/>
      <c r="D35" s="486">
        <f t="shared" si="12"/>
        <v>0</v>
      </c>
      <c r="E35" s="487">
        <f t="shared" si="12"/>
        <v>0</v>
      </c>
      <c r="F35" s="488">
        <f>SUMIFS(BOOTHPLC,BOOTHPLD,"&gt;="&amp;BPOCT,BOOTHPLD,"&lt;="&amp;EOMONTH(BPOCT,2),BOOTHGRP,$A35)+
SUMIFS(SMPLC,SMPLD,"&gt;="&amp;SPOCT,SMPLD,"&lt;="&amp;EOMONTH(SPOCT,2),SMGRP,$A35)+
SUMIFS(IJPLC,IJPLD,"&gt;="&amp;IPOCT,IJPLD,"&lt;="&amp;EOMONTH(IPOCT,2),IJGRP,$A35)</f>
        <v>0</v>
      </c>
      <c r="G35" s="489">
        <f>SUMIFS(BOOTHACC,BOOTHDAP,"&gt;="&amp;BPOCT,BOOTHDAP,"&lt;="&amp;EOMONTH(BPOCT,2),BOOTHGRP,$A35)+
SUMIFS(SMACC,SMDAP,"&gt;="&amp;SPOCT,SMDAP,"&lt;="&amp;EOMONTH(SPOCT,2),SMGRP,$A35)+
SUMIFS(IJACC,IJDAP,"&gt;="&amp;IPOCT,IJDAP,"&lt;="&amp;EOMONTH(IPOCT,2),IJGRP,$A35)</f>
        <v>0</v>
      </c>
      <c r="H35" s="490">
        <f>F35-G35</f>
        <v>0</v>
      </c>
      <c r="I35" s="491">
        <f>SUMIFS(BOOTHPLC,BOOTHPLD,"&gt;="&amp;BPJAN,BOOTHPLD,"&lt;="&amp;EOMONTH(BPJAN,2),BOOTHGRP,$A35)+SUMIFS(SMPLC,SMPLD,"&gt;="&amp;SPJAN,SMPLD,"&lt;="&amp;EOMONTH(SPJAN,2),SMGRP,$A35)+SUMIFS(IJPLC,IJPLD,"&gt;="&amp;IPJAN,IJPLD,"&lt;="&amp;EOMONTH(IPJAN,2),IJGRP,$A35)</f>
        <v>0</v>
      </c>
      <c r="J35" s="492">
        <f>SUMIFS(BOOTHACC,BOOTHDAP,"&gt;="&amp;BPJAN,BOOTHDAP,"&lt;="&amp;EOMONTH(BPJAN,2),BOOTHGRP,$A35)+
SUMIFS(SMACC,SMDAP,"&gt;="&amp;SPJAN,SMDAP,"&lt;="&amp;EOMONTH(SPJAN,2),SMGRP,$A35)+
SUMIFS(IJACC,IJDAP,"&gt;="&amp;IPJAN,IJDAP,"&lt;="&amp;EOMONTH(IPJAN,2),IJGRP,$A35)</f>
        <v>0</v>
      </c>
      <c r="K35" s="493">
        <f>I35-J35</f>
        <v>0</v>
      </c>
      <c r="L35" s="494">
        <f>SUMIFS(BOOTHPLC,BOOTHPLD,"&gt;="&amp;BPAPR,BOOTHPLD,"&lt;="&amp;EOMONTH(BPAPR,2),BOOTHGRP,$A35)+SUMIFS(SMPLC,SMPLD,"&gt;="&amp;SPAPR,SMPLD,"&lt;="&amp;EOMONTH(SPAPR,2),SMGRP,$A35)+SUMIFS(IJPLC,IJPLD,"&gt;="&amp;IPAPR,IJPLD,"&lt;="&amp;EOMONTH(IPAPR,2),IJGRP,$A35)</f>
        <v>0</v>
      </c>
      <c r="M35" s="495">
        <f>SUMIFS(BOOTHACC,BOOTHDAP,"&gt;="&amp;BPAPR,BOOTHDAP,"&lt;="&amp;EOMONTH(BPAPR,2),BOOTHGRP,$A35)+
SUMIFS(SMACC,SMDAP,"&gt;="&amp;SPAPR,SMDAP,"&lt;="&amp;EOMONTH(SPAPR,2),SMGRP,$A35)+
SUMIFS(IJACC,IJDAP,"&gt;="&amp;IPAPR,IJDAP,"&lt;="&amp;EOMONTH(IPAPR,2),IJGRP,$A35)</f>
        <v>0</v>
      </c>
      <c r="N35" s="496">
        <f>L35-M35</f>
        <v>0</v>
      </c>
      <c r="O35" s="497">
        <f>SUMIFS(BOOTHPLC,BOOTHPLD,"&gt;="&amp;BPJUL,BOOTHPLD,"&lt;="&amp;EOMONTH(BPJUL,2),BOOTHGRP,$A35)+SUMIFS(SMPLC,SMPLD,"&gt;="&amp;SPJUL,SMPLD,"&lt;="&amp;EOMONTH(SPJUL,2),SMGRP,$A35)+SUMIFS(IJPLC,IJPLD,"&gt;="&amp;IPJUL,IJPLD,"&lt;="&amp;EOMONTH(IPJUL,2),IJGRP,$A35)</f>
        <v>0</v>
      </c>
      <c r="P35" s="498">
        <f>SUMIFS(BOOTHACC,BOOTHDAP,"&gt;="&amp;BPJUL,BOOTHDAP,"&lt;="&amp;EOMONTH(BPJUL,2),BOOTHGRP,$A35)+
SUMIFS(SMACC,SMDAP,"&gt;="&amp;SPJUL,SMDAP,"&lt;="&amp;EOMONTH(SPJUL,2),SMGRP,$A35)+
SUMIFS(IJACC,IJDAP,"&gt;="&amp;IPJUL,IJDAP,"&lt;="&amp;EOMONTH(IPJUL,2),IJGRP,$A35)</f>
        <v>0</v>
      </c>
      <c r="Q35" s="499">
        <f>O35-P35</f>
        <v>0</v>
      </c>
    </row>
    <row r="36" spans="1:17" x14ac:dyDescent="0.25">
      <c r="A36" s="514" t="s">
        <v>311</v>
      </c>
      <c r="B36" s="515"/>
      <c r="C36" s="515"/>
      <c r="D36" s="515"/>
      <c r="E36" s="515"/>
      <c r="F36" s="516"/>
      <c r="G36" s="517"/>
      <c r="H36" s="525" t="s">
        <v>312</v>
      </c>
      <c r="I36" s="526"/>
      <c r="J36" s="526"/>
      <c r="K36" s="526"/>
      <c r="L36" s="526"/>
      <c r="M36" s="526"/>
      <c r="N36" s="526"/>
      <c r="O36" s="526"/>
      <c r="P36" s="526"/>
      <c r="Q36" s="527"/>
    </row>
    <row r="37" spans="1:17" x14ac:dyDescent="0.25">
      <c r="A37" s="518"/>
      <c r="B37" s="516"/>
      <c r="C37" s="516"/>
      <c r="D37" s="516"/>
      <c r="E37" s="516"/>
      <c r="F37" s="516"/>
      <c r="G37" s="517"/>
      <c r="H37" s="528"/>
      <c r="I37" s="529"/>
      <c r="J37" s="529"/>
      <c r="K37" s="529"/>
      <c r="L37" s="529"/>
      <c r="M37" s="529"/>
      <c r="N37" s="529"/>
      <c r="O37" s="529"/>
      <c r="P37" s="529"/>
      <c r="Q37" s="530"/>
    </row>
    <row r="38" spans="1:17" ht="15.75" thickBot="1" x14ac:dyDescent="0.3">
      <c r="A38" s="519"/>
      <c r="B38" s="520"/>
      <c r="C38" s="520"/>
      <c r="D38" s="520"/>
      <c r="E38" s="520"/>
      <c r="F38" s="520"/>
      <c r="G38" s="521"/>
      <c r="H38" s="531"/>
      <c r="I38" s="532"/>
      <c r="J38" s="532"/>
      <c r="K38" s="532"/>
      <c r="L38" s="532"/>
      <c r="M38" s="532"/>
      <c r="N38" s="532"/>
      <c r="O38" s="532"/>
      <c r="P38" s="532"/>
      <c r="Q38" s="533"/>
    </row>
  </sheetData>
  <sheetProtection sheet="1" selectLockedCells="1"/>
  <customSheetViews>
    <customSheetView guid="{DDFF3EBC-2CED-4439-A844-7B6A9C88C75C}" fitToPage="1">
      <selection activeCell="F3" sqref="F3"/>
      <pageMargins left="0.25" right="0.25" top="0.75" bottom="0.75" header="0.3" footer="0.3"/>
      <printOptions horizontalCentered="1" verticalCentered="1"/>
      <pageSetup scale="55" fitToHeight="0" orientation="landscape" horizontalDpi="1200" verticalDpi="1200" r:id="rId1"/>
    </customSheetView>
    <customSheetView guid="{B51176BD-3A7B-4ED1-B67D-463289B65E73}" fitToPage="1">
      <selection activeCell="F3" sqref="F3"/>
      <pageMargins left="0.25" right="0.25" top="0.75" bottom="0.75" header="0.3" footer="0.3"/>
      <printOptions horizontalCentered="1" verticalCentered="1"/>
      <pageSetup scale="55" fitToHeight="0" orientation="landscape" horizontalDpi="1200" verticalDpi="1200" r:id="rId2"/>
    </customSheetView>
  </customSheetViews>
  <mergeCells count="37">
    <mergeCell ref="A7:C7"/>
    <mergeCell ref="A8:C8"/>
    <mergeCell ref="A9:C9"/>
    <mergeCell ref="I23:J23"/>
    <mergeCell ref="I11:K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A2:C2"/>
    <mergeCell ref="A3:C3"/>
    <mergeCell ref="A4:C4"/>
    <mergeCell ref="A5:C5"/>
    <mergeCell ref="A6:C6"/>
    <mergeCell ref="P12:V25"/>
    <mergeCell ref="F11:G11"/>
    <mergeCell ref="M11:N11"/>
    <mergeCell ref="P11:V11"/>
    <mergeCell ref="D11:E11"/>
    <mergeCell ref="A33:Q33"/>
    <mergeCell ref="A34:C34"/>
    <mergeCell ref="A35:C35"/>
    <mergeCell ref="A36:G38"/>
    <mergeCell ref="A27:C27"/>
    <mergeCell ref="H36:Q38"/>
    <mergeCell ref="A28:C28"/>
    <mergeCell ref="A29:C29"/>
    <mergeCell ref="A30:C30"/>
    <mergeCell ref="A31:C31"/>
    <mergeCell ref="A32:C32"/>
  </mergeCells>
  <conditionalFormatting sqref="F11:G11 M11:N11">
    <cfRule type="containsBlanks" dxfId="66" priority="14">
      <formula>LEN(TRIM(F11))=0</formula>
    </cfRule>
  </conditionalFormatting>
  <conditionalFormatting sqref="B1">
    <cfRule type="expression" dxfId="65" priority="1">
      <formula>IF(ISBLANK($B$1),1)</formula>
    </cfRule>
  </conditionalFormatting>
  <printOptions horizontalCentered="1" verticalCentered="1"/>
  <pageMargins left="0.25" right="0.25" top="0.75" bottom="0.75" header="0.3" footer="0.3"/>
  <pageSetup scale="55" fitToHeight="0" orientation="landscape" horizontalDpi="1200" verticalDpi="1200" r:id="rId3"/>
  <ignoredErrors>
    <ignoredError sqref="G29 I29:J29 L29:M29 O29:P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39997558519241921"/>
  </sheetPr>
  <dimension ref="A1:V71"/>
  <sheetViews>
    <sheetView workbookViewId="0">
      <selection activeCell="D19" sqref="D19"/>
    </sheetView>
  </sheetViews>
  <sheetFormatPr defaultRowHeight="15" x14ac:dyDescent="0.25"/>
  <cols>
    <col min="1" max="1" width="4.140625" style="106" bestFit="1" customWidth="1"/>
    <col min="2" max="2" width="7" style="106" bestFit="1" customWidth="1"/>
    <col min="3" max="3" width="17" style="106" bestFit="1" customWidth="1"/>
    <col min="4" max="4" width="10.7109375" style="106" bestFit="1" customWidth="1"/>
    <col min="5" max="5" width="7.85546875" style="246" customWidth="1"/>
    <col min="6" max="6" width="9.140625" style="246"/>
    <col min="8" max="8" width="9.140625" style="106"/>
  </cols>
  <sheetData>
    <row r="1" spans="1:22" ht="15.75" thickBot="1" x14ac:dyDescent="0.3">
      <c r="A1" s="245" t="s">
        <v>134</v>
      </c>
      <c r="B1" s="245" t="s">
        <v>135</v>
      </c>
      <c r="C1" s="245" t="s">
        <v>208</v>
      </c>
      <c r="D1" s="245" t="s">
        <v>59</v>
      </c>
      <c r="E1" s="245" t="s">
        <v>269</v>
      </c>
      <c r="F1" s="245" t="s">
        <v>268</v>
      </c>
      <c r="G1" s="365" t="s">
        <v>267</v>
      </c>
      <c r="H1" s="245" t="s">
        <v>209</v>
      </c>
      <c r="J1" s="106"/>
      <c r="K1" s="106"/>
      <c r="L1" s="240" t="s">
        <v>213</v>
      </c>
      <c r="M1" s="240">
        <v>1</v>
      </c>
      <c r="N1" s="240">
        <v>2</v>
      </c>
      <c r="O1" s="240">
        <v>3</v>
      </c>
      <c r="P1" s="240">
        <v>4</v>
      </c>
      <c r="Q1" s="240">
        <v>5</v>
      </c>
      <c r="R1" s="240">
        <v>6</v>
      </c>
      <c r="S1" s="240">
        <v>7</v>
      </c>
      <c r="T1" s="240">
        <v>8</v>
      </c>
      <c r="U1" s="240">
        <v>9</v>
      </c>
      <c r="V1" s="240">
        <v>10</v>
      </c>
    </row>
    <row r="2" spans="1:22" x14ac:dyDescent="0.25">
      <c r="A2" s="254"/>
      <c r="B2" s="254"/>
      <c r="C2" s="254"/>
      <c r="D2" s="255"/>
      <c r="E2" s="366"/>
      <c r="F2" s="366"/>
      <c r="G2" s="367" t="e">
        <f>E2/F2</f>
        <v>#DIV/0!</v>
      </c>
      <c r="H2" s="367" t="e">
        <f>IF(ISBLANK(G2),"",IF(G2&lt;80%,"FAIL","PASS"))</f>
        <v>#DIV/0!</v>
      </c>
      <c r="J2" s="726" t="s">
        <v>210</v>
      </c>
      <c r="K2" s="727"/>
      <c r="L2" s="239">
        <f>COUNTA($D$2:$D$71)</f>
        <v>0</v>
      </c>
      <c r="M2" s="239">
        <f>COUNTIFS($D$2:$D$71,"&lt;&gt;",$A$2:$A$71,"1")</f>
        <v>0</v>
      </c>
      <c r="N2" s="239">
        <f>COUNTIFS($D$2:$D$71,"&lt;&gt;",$A$2:$A$71,"2")</f>
        <v>0</v>
      </c>
      <c r="O2" s="239">
        <f>COUNTIFS($D$2:$D$71,"&lt;&gt;",$A$2:$A$71,"3")</f>
        <v>0</v>
      </c>
      <c r="P2" s="239">
        <f>COUNTIFS($D$2:$D$71,"&lt;&gt;",$A$2:$A$71,"4")</f>
        <v>0</v>
      </c>
      <c r="Q2" s="239">
        <f>COUNTIFS($D$2:$D$71,"&lt;&gt;",$A$2:$A$71,"5")</f>
        <v>0</v>
      </c>
      <c r="R2" s="239">
        <f>COUNTIFS($D$2:$D$71,"&lt;&gt;",$A$2:$A$71,"6")</f>
        <v>0</v>
      </c>
      <c r="S2" s="239">
        <f>COUNTIFS($D$2:$D$71,"&lt;&gt;",$A$2:$A$71,"7")</f>
        <v>0</v>
      </c>
      <c r="T2" s="239">
        <f>COUNTIFS($D$2:$D$71,"&lt;&gt;",$A$2:$A$71,"8")</f>
        <v>0</v>
      </c>
      <c r="U2" s="239">
        <f>COUNTIFS($D$2:$D$71,"&lt;&gt;",$A$2:$A$71,"9")</f>
        <v>0</v>
      </c>
      <c r="V2" s="239">
        <f>COUNTIFS($D$2:$D$71,"&lt;&gt;",$A$2:$A$71,"10")</f>
        <v>0</v>
      </c>
    </row>
    <row r="3" spans="1:22" x14ac:dyDescent="0.25">
      <c r="A3" s="254"/>
      <c r="B3" s="254"/>
      <c r="C3" s="254"/>
      <c r="D3" s="255"/>
      <c r="E3" s="366"/>
      <c r="F3" s="366"/>
      <c r="G3" s="367" t="e">
        <f t="shared" ref="G3:G6" si="0">E3/F3</f>
        <v>#DIV/0!</v>
      </c>
      <c r="H3" s="367" t="e">
        <f t="shared" ref="H3:H66" si="1">IF(ISBLANK(G3),"",IF(G3&lt;80%,"FAIL","PASS"))</f>
        <v>#DIV/0!</v>
      </c>
      <c r="J3" s="728" t="s">
        <v>211</v>
      </c>
      <c r="K3" s="729"/>
      <c r="L3" s="238">
        <f>COUNTIF($H$2:$H$71,"PASS")</f>
        <v>0</v>
      </c>
      <c r="M3" s="238">
        <f>COUNTIFS($H$2:$H$71,"PASS",$A$2:$A$71,"1")</f>
        <v>0</v>
      </c>
      <c r="N3" s="238">
        <f>COUNTIFS($H$2:$H$71,"PASS",$A$2:$A$71,"2")</f>
        <v>0</v>
      </c>
      <c r="O3" s="238">
        <f>COUNTIFS($H$2:$H$71,"PASS",$A$2:$A$71,"3")</f>
        <v>0</v>
      </c>
      <c r="P3" s="238">
        <f>COUNTIFS($H$2:$H$71,"PASS",$A$2:$A$71,"4")</f>
        <v>0</v>
      </c>
      <c r="Q3" s="238">
        <f>COUNTIFS($H$2:$H$71,"PASS",$A$2:$A$71,"5")</f>
        <v>0</v>
      </c>
      <c r="R3" s="238">
        <f>COUNTIFS($H$2:$H$71,"PASS",$A$2:$A$71,"6")</f>
        <v>0</v>
      </c>
      <c r="S3" s="238">
        <f>COUNTIFS($H$2:$H$71,"PASS",$A$2:$A$71,"7")</f>
        <v>0</v>
      </c>
      <c r="T3" s="238">
        <f>COUNTIFS($H$2:$H$71,"PASS",$A$2:$A$71,"8")</f>
        <v>0</v>
      </c>
      <c r="U3" s="238">
        <f>COUNTIFS($H$2:$H$71,"PASS",$A$2:$A$71,"9")</f>
        <v>0</v>
      </c>
      <c r="V3" s="238">
        <f>COUNTIFS($H$2:$H$71,"PASS",$A$2:$A$71,"10")</f>
        <v>0</v>
      </c>
    </row>
    <row r="4" spans="1:22" ht="15.75" thickBot="1" x14ac:dyDescent="0.3">
      <c r="A4" s="254"/>
      <c r="B4" s="254"/>
      <c r="C4" s="254"/>
      <c r="D4" s="255"/>
      <c r="E4" s="366"/>
      <c r="F4" s="366"/>
      <c r="G4" s="367" t="e">
        <f t="shared" si="0"/>
        <v>#DIV/0!</v>
      </c>
      <c r="H4" s="367" t="e">
        <f t="shared" si="1"/>
        <v>#DIV/0!</v>
      </c>
      <c r="J4" s="730" t="s">
        <v>212</v>
      </c>
      <c r="K4" s="731"/>
      <c r="L4" s="241">
        <f>L2-L3</f>
        <v>0</v>
      </c>
      <c r="M4" s="241">
        <f t="shared" ref="M4:R4" si="2">M2-M3</f>
        <v>0</v>
      </c>
      <c r="N4" s="241">
        <f t="shared" si="2"/>
        <v>0</v>
      </c>
      <c r="O4" s="241">
        <f t="shared" si="2"/>
        <v>0</v>
      </c>
      <c r="P4" s="241">
        <f t="shared" si="2"/>
        <v>0</v>
      </c>
      <c r="Q4" s="241">
        <f t="shared" si="2"/>
        <v>0</v>
      </c>
      <c r="R4" s="241">
        <f t="shared" si="2"/>
        <v>0</v>
      </c>
      <c r="S4" s="241">
        <f t="shared" ref="S4:V4" si="3">S2-S3</f>
        <v>0</v>
      </c>
      <c r="T4" s="241">
        <f t="shared" si="3"/>
        <v>0</v>
      </c>
      <c r="U4" s="241">
        <f t="shared" si="3"/>
        <v>0</v>
      </c>
      <c r="V4" s="241">
        <f t="shared" si="3"/>
        <v>0</v>
      </c>
    </row>
    <row r="5" spans="1:22" ht="15.75" thickBot="1" x14ac:dyDescent="0.3">
      <c r="A5" s="254"/>
      <c r="B5" s="254"/>
      <c r="C5" s="254"/>
      <c r="D5" s="255"/>
      <c r="E5" s="366"/>
      <c r="F5" s="366"/>
      <c r="G5" s="367" t="e">
        <f t="shared" si="0"/>
        <v>#DIV/0!</v>
      </c>
      <c r="H5" s="367" t="e">
        <f t="shared" si="1"/>
        <v>#DIV/0!</v>
      </c>
      <c r="J5" s="741" t="s">
        <v>215</v>
      </c>
      <c r="K5" s="742"/>
      <c r="L5" s="242">
        <f>IFERROR(L3/L2,0)</f>
        <v>0</v>
      </c>
      <c r="M5" s="242">
        <f t="shared" ref="M5:R5" si="4">IFERROR(M3/M2,0)</f>
        <v>0</v>
      </c>
      <c r="N5" s="242">
        <f t="shared" si="4"/>
        <v>0</v>
      </c>
      <c r="O5" s="242">
        <f t="shared" si="4"/>
        <v>0</v>
      </c>
      <c r="P5" s="242">
        <f t="shared" si="4"/>
        <v>0</v>
      </c>
      <c r="Q5" s="242">
        <f t="shared" si="4"/>
        <v>0</v>
      </c>
      <c r="R5" s="242">
        <f t="shared" si="4"/>
        <v>0</v>
      </c>
      <c r="S5" s="242">
        <f t="shared" ref="S5:V5" si="5">IFERROR(S3/S2,0)</f>
        <v>0</v>
      </c>
      <c r="T5" s="242">
        <f t="shared" si="5"/>
        <v>0</v>
      </c>
      <c r="U5" s="242">
        <f t="shared" si="5"/>
        <v>0</v>
      </c>
      <c r="V5" s="242">
        <f t="shared" si="5"/>
        <v>0</v>
      </c>
    </row>
    <row r="6" spans="1:22" ht="15.75" thickBot="1" x14ac:dyDescent="0.3">
      <c r="A6" s="254"/>
      <c r="B6" s="254"/>
      <c r="C6" s="254"/>
      <c r="D6" s="255"/>
      <c r="E6" s="366"/>
      <c r="F6" s="366"/>
      <c r="G6" s="367" t="e">
        <f t="shared" si="0"/>
        <v>#DIV/0!</v>
      </c>
      <c r="H6" s="367" t="e">
        <f t="shared" si="1"/>
        <v>#DIV/0!</v>
      </c>
    </row>
    <row r="7" spans="1:22" x14ac:dyDescent="0.25">
      <c r="A7" s="254"/>
      <c r="B7" s="254"/>
      <c r="C7" s="254"/>
      <c r="D7" s="255"/>
      <c r="E7" s="366"/>
      <c r="F7" s="366"/>
      <c r="G7" s="367" t="e">
        <f t="shared" ref="G7:G70" si="6">E7/F7</f>
        <v>#DIV/0!</v>
      </c>
      <c r="H7" s="367" t="e">
        <f t="shared" si="1"/>
        <v>#DIV/0!</v>
      </c>
      <c r="J7" s="732" t="s">
        <v>214</v>
      </c>
      <c r="K7" s="733"/>
      <c r="L7" s="733"/>
      <c r="M7" s="734"/>
    </row>
    <row r="8" spans="1:22" x14ac:dyDescent="0.25">
      <c r="A8" s="254"/>
      <c r="B8" s="254"/>
      <c r="C8" s="254"/>
      <c r="D8" s="255"/>
      <c r="E8" s="366"/>
      <c r="F8" s="366"/>
      <c r="G8" s="367" t="e">
        <f t="shared" si="6"/>
        <v>#DIV/0!</v>
      </c>
      <c r="H8" s="367" t="e">
        <f t="shared" si="1"/>
        <v>#DIV/0!</v>
      </c>
      <c r="J8" s="735"/>
      <c r="K8" s="736"/>
      <c r="L8" s="736"/>
      <c r="M8" s="737"/>
    </row>
    <row r="9" spans="1:22" x14ac:dyDescent="0.25">
      <c r="A9" s="254"/>
      <c r="B9" s="254"/>
      <c r="C9" s="254"/>
      <c r="D9" s="255"/>
      <c r="E9" s="366"/>
      <c r="F9" s="366"/>
      <c r="G9" s="367" t="e">
        <f t="shared" si="6"/>
        <v>#DIV/0!</v>
      </c>
      <c r="H9" s="367" t="e">
        <f t="shared" si="1"/>
        <v>#DIV/0!</v>
      </c>
      <c r="J9" s="735"/>
      <c r="K9" s="736"/>
      <c r="L9" s="736"/>
      <c r="M9" s="737"/>
    </row>
    <row r="10" spans="1:22" ht="15.75" thickBot="1" x14ac:dyDescent="0.3">
      <c r="A10" s="254"/>
      <c r="B10" s="254"/>
      <c r="C10" s="254"/>
      <c r="D10" s="255"/>
      <c r="E10" s="366"/>
      <c r="F10" s="366"/>
      <c r="G10" s="367" t="e">
        <f t="shared" si="6"/>
        <v>#DIV/0!</v>
      </c>
      <c r="H10" s="367" t="e">
        <f t="shared" si="1"/>
        <v>#DIV/0!</v>
      </c>
      <c r="J10" s="738"/>
      <c r="K10" s="739"/>
      <c r="L10" s="739"/>
      <c r="M10" s="740"/>
    </row>
    <row r="11" spans="1:22" x14ac:dyDescent="0.25">
      <c r="A11" s="254"/>
      <c r="B11" s="254"/>
      <c r="C11" s="254"/>
      <c r="D11" s="255"/>
      <c r="E11" s="366"/>
      <c r="F11" s="366"/>
      <c r="G11" s="367" t="e">
        <f t="shared" si="6"/>
        <v>#DIV/0!</v>
      </c>
      <c r="H11" s="367" t="e">
        <f t="shared" si="1"/>
        <v>#DIV/0!</v>
      </c>
    </row>
    <row r="12" spans="1:22" x14ac:dyDescent="0.25">
      <c r="A12" s="254"/>
      <c r="B12" s="254"/>
      <c r="C12" s="254"/>
      <c r="D12" s="254"/>
      <c r="E12" s="366"/>
      <c r="F12" s="366"/>
      <c r="G12" s="367" t="e">
        <f t="shared" si="6"/>
        <v>#DIV/0!</v>
      </c>
      <c r="H12" s="367" t="e">
        <f t="shared" si="1"/>
        <v>#DIV/0!</v>
      </c>
    </row>
    <row r="13" spans="1:22" x14ac:dyDescent="0.25">
      <c r="A13" s="254"/>
      <c r="B13" s="254"/>
      <c r="C13" s="254"/>
      <c r="D13" s="255"/>
      <c r="E13" s="366"/>
      <c r="F13" s="366"/>
      <c r="G13" s="367" t="e">
        <f t="shared" si="6"/>
        <v>#DIV/0!</v>
      </c>
      <c r="H13" s="367" t="e">
        <f t="shared" si="1"/>
        <v>#DIV/0!</v>
      </c>
    </row>
    <row r="14" spans="1:22" x14ac:dyDescent="0.25">
      <c r="A14" s="254"/>
      <c r="B14" s="254"/>
      <c r="C14" s="254"/>
      <c r="D14" s="254"/>
      <c r="E14" s="366"/>
      <c r="F14" s="366"/>
      <c r="G14" s="367" t="e">
        <f t="shared" si="6"/>
        <v>#DIV/0!</v>
      </c>
      <c r="H14" s="367" t="e">
        <f t="shared" si="1"/>
        <v>#DIV/0!</v>
      </c>
    </row>
    <row r="15" spans="1:22" x14ac:dyDescent="0.25">
      <c r="A15" s="254"/>
      <c r="B15" s="254"/>
      <c r="C15" s="254"/>
      <c r="D15" s="255"/>
      <c r="E15" s="366"/>
      <c r="F15" s="366"/>
      <c r="G15" s="367" t="e">
        <f t="shared" si="6"/>
        <v>#DIV/0!</v>
      </c>
      <c r="H15" s="367" t="e">
        <f t="shared" si="1"/>
        <v>#DIV/0!</v>
      </c>
    </row>
    <row r="16" spans="1:22" x14ac:dyDescent="0.25">
      <c r="A16" s="254"/>
      <c r="B16" s="254"/>
      <c r="C16" s="254"/>
      <c r="D16" s="255"/>
      <c r="E16" s="366"/>
      <c r="F16" s="366"/>
      <c r="G16" s="367" t="e">
        <f t="shared" si="6"/>
        <v>#DIV/0!</v>
      </c>
      <c r="H16" s="367" t="e">
        <f t="shared" si="1"/>
        <v>#DIV/0!</v>
      </c>
    </row>
    <row r="17" spans="1:8" x14ac:dyDescent="0.25">
      <c r="A17" s="254"/>
      <c r="B17" s="254"/>
      <c r="C17" s="254"/>
      <c r="D17" s="255"/>
      <c r="E17" s="366"/>
      <c r="F17" s="366"/>
      <c r="G17" s="367" t="e">
        <f t="shared" si="6"/>
        <v>#DIV/0!</v>
      </c>
      <c r="H17" s="367" t="e">
        <f t="shared" si="1"/>
        <v>#DIV/0!</v>
      </c>
    </row>
    <row r="18" spans="1:8" x14ac:dyDescent="0.25">
      <c r="A18" s="254"/>
      <c r="B18" s="254"/>
      <c r="C18" s="254"/>
      <c r="D18" s="255"/>
      <c r="E18" s="366"/>
      <c r="F18" s="366"/>
      <c r="G18" s="367" t="e">
        <f t="shared" si="6"/>
        <v>#DIV/0!</v>
      </c>
      <c r="H18" s="367" t="e">
        <f t="shared" si="1"/>
        <v>#DIV/0!</v>
      </c>
    </row>
    <row r="19" spans="1:8" x14ac:dyDescent="0.25">
      <c r="A19" s="254"/>
      <c r="B19" s="254"/>
      <c r="C19" s="254"/>
      <c r="D19" s="255"/>
      <c r="E19" s="366"/>
      <c r="F19" s="366"/>
      <c r="G19" s="367" t="e">
        <f t="shared" si="6"/>
        <v>#DIV/0!</v>
      </c>
      <c r="H19" s="367" t="e">
        <f t="shared" si="1"/>
        <v>#DIV/0!</v>
      </c>
    </row>
    <row r="20" spans="1:8" x14ac:dyDescent="0.25">
      <c r="A20" s="254"/>
      <c r="B20" s="254"/>
      <c r="C20" s="254"/>
      <c r="D20" s="254"/>
      <c r="E20" s="366"/>
      <c r="F20" s="366"/>
      <c r="G20" s="367" t="e">
        <f t="shared" si="6"/>
        <v>#DIV/0!</v>
      </c>
      <c r="H20" s="367" t="e">
        <f t="shared" si="1"/>
        <v>#DIV/0!</v>
      </c>
    </row>
    <row r="21" spans="1:8" x14ac:dyDescent="0.25">
      <c r="A21" s="254"/>
      <c r="B21" s="254"/>
      <c r="C21" s="254"/>
      <c r="D21" s="254"/>
      <c r="E21" s="366"/>
      <c r="F21" s="366"/>
      <c r="G21" s="367" t="e">
        <f t="shared" si="6"/>
        <v>#DIV/0!</v>
      </c>
      <c r="H21" s="367" t="e">
        <f t="shared" si="1"/>
        <v>#DIV/0!</v>
      </c>
    </row>
    <row r="22" spans="1:8" x14ac:dyDescent="0.25">
      <c r="A22" s="254"/>
      <c r="B22" s="254"/>
      <c r="C22" s="254"/>
      <c r="D22" s="254"/>
      <c r="E22" s="366"/>
      <c r="F22" s="366"/>
      <c r="G22" s="367" t="e">
        <f t="shared" si="6"/>
        <v>#DIV/0!</v>
      </c>
      <c r="H22" s="367" t="e">
        <f t="shared" si="1"/>
        <v>#DIV/0!</v>
      </c>
    </row>
    <row r="23" spans="1:8" x14ac:dyDescent="0.25">
      <c r="A23" s="254"/>
      <c r="B23" s="254"/>
      <c r="C23" s="254"/>
      <c r="D23" s="254"/>
      <c r="E23" s="366"/>
      <c r="F23" s="366"/>
      <c r="G23" s="367" t="e">
        <f t="shared" si="6"/>
        <v>#DIV/0!</v>
      </c>
      <c r="H23" s="367" t="e">
        <f t="shared" si="1"/>
        <v>#DIV/0!</v>
      </c>
    </row>
    <row r="24" spans="1:8" x14ac:dyDescent="0.25">
      <c r="A24" s="254"/>
      <c r="B24" s="254"/>
      <c r="C24" s="254"/>
      <c r="D24" s="254"/>
      <c r="E24" s="366"/>
      <c r="F24" s="366"/>
      <c r="G24" s="367" t="e">
        <f t="shared" si="6"/>
        <v>#DIV/0!</v>
      </c>
      <c r="H24" s="367" t="e">
        <f t="shared" si="1"/>
        <v>#DIV/0!</v>
      </c>
    </row>
    <row r="25" spans="1:8" x14ac:dyDescent="0.25">
      <c r="A25" s="254"/>
      <c r="B25" s="254"/>
      <c r="C25" s="254"/>
      <c r="D25" s="254"/>
      <c r="E25" s="366"/>
      <c r="F25" s="366"/>
      <c r="G25" s="367" t="e">
        <f t="shared" si="6"/>
        <v>#DIV/0!</v>
      </c>
      <c r="H25" s="367" t="e">
        <f t="shared" si="1"/>
        <v>#DIV/0!</v>
      </c>
    </row>
    <row r="26" spans="1:8" x14ac:dyDescent="0.25">
      <c r="A26" s="254"/>
      <c r="B26" s="254"/>
      <c r="C26" s="254"/>
      <c r="D26" s="255"/>
      <c r="E26" s="366"/>
      <c r="F26" s="366"/>
      <c r="G26" s="367" t="e">
        <f t="shared" si="6"/>
        <v>#DIV/0!</v>
      </c>
      <c r="H26" s="367" t="e">
        <f t="shared" si="1"/>
        <v>#DIV/0!</v>
      </c>
    </row>
    <row r="27" spans="1:8" x14ac:dyDescent="0.25">
      <c r="A27" s="254"/>
      <c r="B27" s="254"/>
      <c r="C27" s="254"/>
      <c r="D27" s="254"/>
      <c r="E27" s="366"/>
      <c r="F27" s="366"/>
      <c r="G27" s="367" t="e">
        <f t="shared" si="6"/>
        <v>#DIV/0!</v>
      </c>
      <c r="H27" s="367" t="e">
        <f t="shared" si="1"/>
        <v>#DIV/0!</v>
      </c>
    </row>
    <row r="28" spans="1:8" x14ac:dyDescent="0.25">
      <c r="A28" s="254"/>
      <c r="B28" s="254"/>
      <c r="C28" s="254"/>
      <c r="D28" s="254"/>
      <c r="E28" s="366"/>
      <c r="F28" s="366"/>
      <c r="G28" s="367" t="e">
        <f t="shared" si="6"/>
        <v>#DIV/0!</v>
      </c>
      <c r="H28" s="367" t="e">
        <f t="shared" si="1"/>
        <v>#DIV/0!</v>
      </c>
    </row>
    <row r="29" spans="1:8" x14ac:dyDescent="0.25">
      <c r="A29" s="254"/>
      <c r="B29" s="254"/>
      <c r="C29" s="254"/>
      <c r="D29" s="254"/>
      <c r="E29" s="366"/>
      <c r="F29" s="366"/>
      <c r="G29" s="367" t="e">
        <f t="shared" si="6"/>
        <v>#DIV/0!</v>
      </c>
      <c r="H29" s="367" t="e">
        <f t="shared" si="1"/>
        <v>#DIV/0!</v>
      </c>
    </row>
    <row r="30" spans="1:8" x14ac:dyDescent="0.25">
      <c r="A30" s="254"/>
      <c r="B30" s="254"/>
      <c r="C30" s="254"/>
      <c r="D30" s="254"/>
      <c r="E30" s="366"/>
      <c r="F30" s="366"/>
      <c r="G30" s="367" t="e">
        <f t="shared" si="6"/>
        <v>#DIV/0!</v>
      </c>
      <c r="H30" s="367" t="e">
        <f t="shared" si="1"/>
        <v>#DIV/0!</v>
      </c>
    </row>
    <row r="31" spans="1:8" x14ac:dyDescent="0.25">
      <c r="A31" s="254"/>
      <c r="B31" s="254"/>
      <c r="C31" s="254"/>
      <c r="D31" s="254"/>
      <c r="E31" s="366"/>
      <c r="F31" s="366"/>
      <c r="G31" s="367" t="e">
        <f t="shared" si="6"/>
        <v>#DIV/0!</v>
      </c>
      <c r="H31" s="367" t="e">
        <f t="shared" si="1"/>
        <v>#DIV/0!</v>
      </c>
    </row>
    <row r="32" spans="1:8" x14ac:dyDescent="0.25">
      <c r="A32" s="254"/>
      <c r="B32" s="254"/>
      <c r="C32" s="254"/>
      <c r="D32" s="254"/>
      <c r="E32" s="366"/>
      <c r="F32" s="366"/>
      <c r="G32" s="367" t="e">
        <f t="shared" si="6"/>
        <v>#DIV/0!</v>
      </c>
      <c r="H32" s="367" t="e">
        <f t="shared" si="1"/>
        <v>#DIV/0!</v>
      </c>
    </row>
    <row r="33" spans="1:8" x14ac:dyDescent="0.25">
      <c r="A33" s="254"/>
      <c r="B33" s="254"/>
      <c r="C33" s="254"/>
      <c r="D33" s="254"/>
      <c r="E33" s="366"/>
      <c r="F33" s="366"/>
      <c r="G33" s="367" t="e">
        <f t="shared" si="6"/>
        <v>#DIV/0!</v>
      </c>
      <c r="H33" s="367" t="e">
        <f t="shared" si="1"/>
        <v>#DIV/0!</v>
      </c>
    </row>
    <row r="34" spans="1:8" x14ac:dyDescent="0.25">
      <c r="A34" s="254"/>
      <c r="B34" s="254"/>
      <c r="C34" s="254"/>
      <c r="D34" s="254"/>
      <c r="E34" s="366"/>
      <c r="F34" s="366"/>
      <c r="G34" s="367" t="e">
        <f t="shared" si="6"/>
        <v>#DIV/0!</v>
      </c>
      <c r="H34" s="367" t="e">
        <f t="shared" si="1"/>
        <v>#DIV/0!</v>
      </c>
    </row>
    <row r="35" spans="1:8" x14ac:dyDescent="0.25">
      <c r="A35" s="254"/>
      <c r="B35" s="254"/>
      <c r="C35" s="254"/>
      <c r="D35" s="254"/>
      <c r="E35" s="366"/>
      <c r="F35" s="366"/>
      <c r="G35" s="367" t="e">
        <f t="shared" si="6"/>
        <v>#DIV/0!</v>
      </c>
      <c r="H35" s="367" t="e">
        <f t="shared" si="1"/>
        <v>#DIV/0!</v>
      </c>
    </row>
    <row r="36" spans="1:8" x14ac:dyDescent="0.25">
      <c r="A36" s="254"/>
      <c r="B36" s="254"/>
      <c r="C36" s="254"/>
      <c r="D36" s="254"/>
      <c r="E36" s="366"/>
      <c r="F36" s="366"/>
      <c r="G36" s="367" t="e">
        <f t="shared" si="6"/>
        <v>#DIV/0!</v>
      </c>
      <c r="H36" s="367" t="e">
        <f t="shared" si="1"/>
        <v>#DIV/0!</v>
      </c>
    </row>
    <row r="37" spans="1:8" x14ac:dyDescent="0.25">
      <c r="A37" s="254"/>
      <c r="B37" s="254"/>
      <c r="C37" s="254"/>
      <c r="D37" s="254"/>
      <c r="E37" s="366"/>
      <c r="F37" s="366"/>
      <c r="G37" s="367" t="e">
        <f t="shared" si="6"/>
        <v>#DIV/0!</v>
      </c>
      <c r="H37" s="367" t="e">
        <f t="shared" si="1"/>
        <v>#DIV/0!</v>
      </c>
    </row>
    <row r="38" spans="1:8" x14ac:dyDescent="0.25">
      <c r="A38" s="254"/>
      <c r="B38" s="254"/>
      <c r="C38" s="254"/>
      <c r="D38" s="254"/>
      <c r="E38" s="366"/>
      <c r="F38" s="366"/>
      <c r="G38" s="367" t="e">
        <f t="shared" si="6"/>
        <v>#DIV/0!</v>
      </c>
      <c r="H38" s="367" t="e">
        <f t="shared" si="1"/>
        <v>#DIV/0!</v>
      </c>
    </row>
    <row r="39" spans="1:8" x14ac:dyDescent="0.25">
      <c r="A39" s="254"/>
      <c r="B39" s="254"/>
      <c r="C39" s="254"/>
      <c r="D39" s="254"/>
      <c r="E39" s="366"/>
      <c r="F39" s="366"/>
      <c r="G39" s="367" t="e">
        <f t="shared" si="6"/>
        <v>#DIV/0!</v>
      </c>
      <c r="H39" s="367" t="e">
        <f t="shared" si="1"/>
        <v>#DIV/0!</v>
      </c>
    </row>
    <row r="40" spans="1:8" x14ac:dyDescent="0.25">
      <c r="A40" s="254"/>
      <c r="B40" s="254"/>
      <c r="C40" s="254"/>
      <c r="D40" s="254"/>
      <c r="E40" s="366"/>
      <c r="F40" s="366"/>
      <c r="G40" s="367" t="e">
        <f t="shared" si="6"/>
        <v>#DIV/0!</v>
      </c>
      <c r="H40" s="367" t="e">
        <f t="shared" si="1"/>
        <v>#DIV/0!</v>
      </c>
    </row>
    <row r="41" spans="1:8" x14ac:dyDescent="0.25">
      <c r="A41" s="254"/>
      <c r="B41" s="254"/>
      <c r="C41" s="254"/>
      <c r="D41" s="254"/>
      <c r="E41" s="366"/>
      <c r="F41" s="366"/>
      <c r="G41" s="367" t="e">
        <f t="shared" si="6"/>
        <v>#DIV/0!</v>
      </c>
      <c r="H41" s="367" t="e">
        <f t="shared" si="1"/>
        <v>#DIV/0!</v>
      </c>
    </row>
    <row r="42" spans="1:8" x14ac:dyDescent="0.25">
      <c r="A42" s="254"/>
      <c r="B42" s="254"/>
      <c r="C42" s="254"/>
      <c r="D42" s="254"/>
      <c r="E42" s="366"/>
      <c r="F42" s="366"/>
      <c r="G42" s="367" t="e">
        <f t="shared" si="6"/>
        <v>#DIV/0!</v>
      </c>
      <c r="H42" s="367" t="e">
        <f t="shared" si="1"/>
        <v>#DIV/0!</v>
      </c>
    </row>
    <row r="43" spans="1:8" x14ac:dyDescent="0.25">
      <c r="A43" s="254"/>
      <c r="B43" s="254"/>
      <c r="C43" s="254"/>
      <c r="D43" s="254"/>
      <c r="E43" s="366"/>
      <c r="F43" s="366"/>
      <c r="G43" s="367" t="e">
        <f t="shared" si="6"/>
        <v>#DIV/0!</v>
      </c>
      <c r="H43" s="367" t="e">
        <f t="shared" si="1"/>
        <v>#DIV/0!</v>
      </c>
    </row>
    <row r="44" spans="1:8" x14ac:dyDescent="0.25">
      <c r="A44" s="254"/>
      <c r="B44" s="254"/>
      <c r="C44" s="254"/>
      <c r="D44" s="254"/>
      <c r="E44" s="366"/>
      <c r="F44" s="366"/>
      <c r="G44" s="367" t="e">
        <f t="shared" si="6"/>
        <v>#DIV/0!</v>
      </c>
      <c r="H44" s="367" t="e">
        <f t="shared" si="1"/>
        <v>#DIV/0!</v>
      </c>
    </row>
    <row r="45" spans="1:8" x14ac:dyDescent="0.25">
      <c r="A45" s="254"/>
      <c r="B45" s="254"/>
      <c r="C45" s="254"/>
      <c r="D45" s="254"/>
      <c r="E45" s="366"/>
      <c r="F45" s="366"/>
      <c r="G45" s="367" t="e">
        <f t="shared" si="6"/>
        <v>#DIV/0!</v>
      </c>
      <c r="H45" s="367" t="e">
        <f t="shared" si="1"/>
        <v>#DIV/0!</v>
      </c>
    </row>
    <row r="46" spans="1:8" x14ac:dyDescent="0.25">
      <c r="A46" s="254"/>
      <c r="B46" s="254"/>
      <c r="C46" s="254"/>
      <c r="D46" s="254"/>
      <c r="E46" s="366"/>
      <c r="F46" s="366"/>
      <c r="G46" s="367" t="e">
        <f t="shared" si="6"/>
        <v>#DIV/0!</v>
      </c>
      <c r="H46" s="367" t="e">
        <f t="shared" si="1"/>
        <v>#DIV/0!</v>
      </c>
    </row>
    <row r="47" spans="1:8" x14ac:dyDescent="0.25">
      <c r="A47" s="254"/>
      <c r="B47" s="254"/>
      <c r="C47" s="254"/>
      <c r="D47" s="254"/>
      <c r="E47" s="366"/>
      <c r="F47" s="366"/>
      <c r="G47" s="367" t="e">
        <f t="shared" si="6"/>
        <v>#DIV/0!</v>
      </c>
      <c r="H47" s="367" t="e">
        <f t="shared" si="1"/>
        <v>#DIV/0!</v>
      </c>
    </row>
    <row r="48" spans="1:8" x14ac:dyDescent="0.25">
      <c r="A48" s="254"/>
      <c r="B48" s="254"/>
      <c r="C48" s="254"/>
      <c r="D48" s="254"/>
      <c r="E48" s="366"/>
      <c r="F48" s="366"/>
      <c r="G48" s="367" t="e">
        <f t="shared" si="6"/>
        <v>#DIV/0!</v>
      </c>
      <c r="H48" s="367" t="e">
        <f t="shared" si="1"/>
        <v>#DIV/0!</v>
      </c>
    </row>
    <row r="49" spans="1:8" x14ac:dyDescent="0.25">
      <c r="A49" s="254"/>
      <c r="B49" s="254"/>
      <c r="C49" s="254"/>
      <c r="D49" s="254"/>
      <c r="E49" s="366"/>
      <c r="F49" s="366"/>
      <c r="G49" s="367" t="e">
        <f t="shared" si="6"/>
        <v>#DIV/0!</v>
      </c>
      <c r="H49" s="367" t="e">
        <f t="shared" si="1"/>
        <v>#DIV/0!</v>
      </c>
    </row>
    <row r="50" spans="1:8" x14ac:dyDescent="0.25">
      <c r="A50" s="254"/>
      <c r="B50" s="254"/>
      <c r="C50" s="254"/>
      <c r="D50" s="254"/>
      <c r="E50" s="366"/>
      <c r="F50" s="366"/>
      <c r="G50" s="367" t="e">
        <f t="shared" si="6"/>
        <v>#DIV/0!</v>
      </c>
      <c r="H50" s="367" t="e">
        <f t="shared" si="1"/>
        <v>#DIV/0!</v>
      </c>
    </row>
    <row r="51" spans="1:8" x14ac:dyDescent="0.25">
      <c r="A51" s="254"/>
      <c r="B51" s="254"/>
      <c r="C51" s="254"/>
      <c r="D51" s="254"/>
      <c r="E51" s="366"/>
      <c r="F51" s="366"/>
      <c r="G51" s="367" t="e">
        <f t="shared" si="6"/>
        <v>#DIV/0!</v>
      </c>
      <c r="H51" s="367" t="e">
        <f t="shared" si="1"/>
        <v>#DIV/0!</v>
      </c>
    </row>
    <row r="52" spans="1:8" x14ac:dyDescent="0.25">
      <c r="A52" s="254"/>
      <c r="B52" s="254"/>
      <c r="C52" s="254"/>
      <c r="D52" s="254"/>
      <c r="E52" s="366"/>
      <c r="F52" s="366"/>
      <c r="G52" s="367" t="e">
        <f t="shared" si="6"/>
        <v>#DIV/0!</v>
      </c>
      <c r="H52" s="367" t="e">
        <f t="shared" si="1"/>
        <v>#DIV/0!</v>
      </c>
    </row>
    <row r="53" spans="1:8" x14ac:dyDescent="0.25">
      <c r="A53" s="254"/>
      <c r="B53" s="254"/>
      <c r="C53" s="254"/>
      <c r="D53" s="254"/>
      <c r="E53" s="366"/>
      <c r="F53" s="366"/>
      <c r="G53" s="367" t="e">
        <f t="shared" si="6"/>
        <v>#DIV/0!</v>
      </c>
      <c r="H53" s="367" t="e">
        <f t="shared" si="1"/>
        <v>#DIV/0!</v>
      </c>
    </row>
    <row r="54" spans="1:8" x14ac:dyDescent="0.25">
      <c r="A54" s="254"/>
      <c r="B54" s="254"/>
      <c r="C54" s="254"/>
      <c r="D54" s="254"/>
      <c r="E54" s="366"/>
      <c r="F54" s="366"/>
      <c r="G54" s="367" t="e">
        <f t="shared" si="6"/>
        <v>#DIV/0!</v>
      </c>
      <c r="H54" s="367" t="e">
        <f t="shared" si="1"/>
        <v>#DIV/0!</v>
      </c>
    </row>
    <row r="55" spans="1:8" x14ac:dyDescent="0.25">
      <c r="A55" s="254"/>
      <c r="B55" s="254"/>
      <c r="C55" s="254"/>
      <c r="D55" s="254"/>
      <c r="E55" s="366"/>
      <c r="F55" s="366"/>
      <c r="G55" s="367" t="e">
        <f t="shared" si="6"/>
        <v>#DIV/0!</v>
      </c>
      <c r="H55" s="367" t="e">
        <f t="shared" si="1"/>
        <v>#DIV/0!</v>
      </c>
    </row>
    <row r="56" spans="1:8" x14ac:dyDescent="0.25">
      <c r="A56" s="254"/>
      <c r="B56" s="254"/>
      <c r="C56" s="254"/>
      <c r="D56" s="254"/>
      <c r="E56" s="366"/>
      <c r="F56" s="366"/>
      <c r="G56" s="367" t="e">
        <f t="shared" si="6"/>
        <v>#DIV/0!</v>
      </c>
      <c r="H56" s="367" t="e">
        <f t="shared" si="1"/>
        <v>#DIV/0!</v>
      </c>
    </row>
    <row r="57" spans="1:8" x14ac:dyDescent="0.25">
      <c r="A57" s="254"/>
      <c r="B57" s="254"/>
      <c r="C57" s="254"/>
      <c r="D57" s="254"/>
      <c r="E57" s="366"/>
      <c r="F57" s="366"/>
      <c r="G57" s="367" t="e">
        <f t="shared" si="6"/>
        <v>#DIV/0!</v>
      </c>
      <c r="H57" s="367" t="e">
        <f t="shared" si="1"/>
        <v>#DIV/0!</v>
      </c>
    </row>
    <row r="58" spans="1:8" x14ac:dyDescent="0.25">
      <c r="A58" s="254"/>
      <c r="B58" s="254"/>
      <c r="C58" s="254"/>
      <c r="D58" s="254"/>
      <c r="E58" s="366"/>
      <c r="F58" s="366"/>
      <c r="G58" s="367" t="e">
        <f t="shared" si="6"/>
        <v>#DIV/0!</v>
      </c>
      <c r="H58" s="367" t="e">
        <f t="shared" si="1"/>
        <v>#DIV/0!</v>
      </c>
    </row>
    <row r="59" spans="1:8" x14ac:dyDescent="0.25">
      <c r="A59" s="254"/>
      <c r="B59" s="254"/>
      <c r="C59" s="254"/>
      <c r="D59" s="254"/>
      <c r="E59" s="366"/>
      <c r="F59" s="366"/>
      <c r="G59" s="367" t="e">
        <f t="shared" si="6"/>
        <v>#DIV/0!</v>
      </c>
      <c r="H59" s="367" t="e">
        <f t="shared" si="1"/>
        <v>#DIV/0!</v>
      </c>
    </row>
    <row r="60" spans="1:8" x14ac:dyDescent="0.25">
      <c r="A60" s="254"/>
      <c r="B60" s="254"/>
      <c r="C60" s="254"/>
      <c r="D60" s="254"/>
      <c r="E60" s="366"/>
      <c r="F60" s="366"/>
      <c r="G60" s="367" t="e">
        <f t="shared" si="6"/>
        <v>#DIV/0!</v>
      </c>
      <c r="H60" s="367" t="e">
        <f t="shared" si="1"/>
        <v>#DIV/0!</v>
      </c>
    </row>
    <row r="61" spans="1:8" x14ac:dyDescent="0.25">
      <c r="A61" s="254"/>
      <c r="B61" s="254"/>
      <c r="C61" s="254"/>
      <c r="D61" s="254"/>
      <c r="E61" s="366"/>
      <c r="F61" s="366"/>
      <c r="G61" s="367" t="e">
        <f t="shared" si="6"/>
        <v>#DIV/0!</v>
      </c>
      <c r="H61" s="367" t="e">
        <f t="shared" si="1"/>
        <v>#DIV/0!</v>
      </c>
    </row>
    <row r="62" spans="1:8" x14ac:dyDescent="0.25">
      <c r="A62" s="254"/>
      <c r="B62" s="254"/>
      <c r="C62" s="254"/>
      <c r="D62" s="254"/>
      <c r="E62" s="366"/>
      <c r="F62" s="366"/>
      <c r="G62" s="367" t="e">
        <f t="shared" si="6"/>
        <v>#DIV/0!</v>
      </c>
      <c r="H62" s="367" t="e">
        <f t="shared" si="1"/>
        <v>#DIV/0!</v>
      </c>
    </row>
    <row r="63" spans="1:8" x14ac:dyDescent="0.25">
      <c r="A63" s="254"/>
      <c r="B63" s="254"/>
      <c r="C63" s="254"/>
      <c r="D63" s="254"/>
      <c r="E63" s="366"/>
      <c r="F63" s="366"/>
      <c r="G63" s="367" t="e">
        <f t="shared" si="6"/>
        <v>#DIV/0!</v>
      </c>
      <c r="H63" s="367" t="e">
        <f t="shared" si="1"/>
        <v>#DIV/0!</v>
      </c>
    </row>
    <row r="64" spans="1:8" x14ac:dyDescent="0.25">
      <c r="A64" s="254"/>
      <c r="B64" s="254"/>
      <c r="C64" s="254"/>
      <c r="D64" s="254"/>
      <c r="E64" s="366"/>
      <c r="F64" s="366"/>
      <c r="G64" s="367" t="e">
        <f t="shared" si="6"/>
        <v>#DIV/0!</v>
      </c>
      <c r="H64" s="367" t="e">
        <f t="shared" si="1"/>
        <v>#DIV/0!</v>
      </c>
    </row>
    <row r="65" spans="1:8" x14ac:dyDescent="0.25">
      <c r="A65" s="254"/>
      <c r="B65" s="254"/>
      <c r="C65" s="254"/>
      <c r="D65" s="254"/>
      <c r="E65" s="366"/>
      <c r="F65" s="366"/>
      <c r="G65" s="367" t="e">
        <f t="shared" si="6"/>
        <v>#DIV/0!</v>
      </c>
      <c r="H65" s="367" t="e">
        <f t="shared" si="1"/>
        <v>#DIV/0!</v>
      </c>
    </row>
    <row r="66" spans="1:8" x14ac:dyDescent="0.25">
      <c r="A66" s="254"/>
      <c r="B66" s="254"/>
      <c r="C66" s="254"/>
      <c r="D66" s="254"/>
      <c r="E66" s="366"/>
      <c r="F66" s="366"/>
      <c r="G66" s="367" t="e">
        <f t="shared" si="6"/>
        <v>#DIV/0!</v>
      </c>
      <c r="H66" s="367" t="e">
        <f t="shared" si="1"/>
        <v>#DIV/0!</v>
      </c>
    </row>
    <row r="67" spans="1:8" x14ac:dyDescent="0.25">
      <c r="A67" s="254"/>
      <c r="B67" s="254"/>
      <c r="C67" s="254"/>
      <c r="D67" s="254"/>
      <c r="E67" s="366"/>
      <c r="F67" s="366"/>
      <c r="G67" s="367" t="e">
        <f t="shared" si="6"/>
        <v>#DIV/0!</v>
      </c>
      <c r="H67" s="367" t="e">
        <f t="shared" ref="H67:H71" si="7">IF(ISBLANK(G67),"",IF(G67&lt;80%,"FAIL","PASS"))</f>
        <v>#DIV/0!</v>
      </c>
    </row>
    <row r="68" spans="1:8" x14ac:dyDescent="0.25">
      <c r="A68" s="254"/>
      <c r="B68" s="254"/>
      <c r="C68" s="254"/>
      <c r="D68" s="254"/>
      <c r="E68" s="366"/>
      <c r="F68" s="366"/>
      <c r="G68" s="367" t="e">
        <f t="shared" si="6"/>
        <v>#DIV/0!</v>
      </c>
      <c r="H68" s="367" t="e">
        <f t="shared" si="7"/>
        <v>#DIV/0!</v>
      </c>
    </row>
    <row r="69" spans="1:8" x14ac:dyDescent="0.25">
      <c r="A69" s="254"/>
      <c r="B69" s="254"/>
      <c r="C69" s="254"/>
      <c r="D69" s="254"/>
      <c r="E69" s="366"/>
      <c r="F69" s="366"/>
      <c r="G69" s="367" t="e">
        <f t="shared" si="6"/>
        <v>#DIV/0!</v>
      </c>
      <c r="H69" s="367" t="e">
        <f t="shared" si="7"/>
        <v>#DIV/0!</v>
      </c>
    </row>
    <row r="70" spans="1:8" x14ac:dyDescent="0.25">
      <c r="A70" s="254"/>
      <c r="B70" s="254"/>
      <c r="C70" s="254"/>
      <c r="D70" s="254"/>
      <c r="E70" s="366"/>
      <c r="F70" s="366"/>
      <c r="G70" s="367" t="e">
        <f t="shared" si="6"/>
        <v>#DIV/0!</v>
      </c>
      <c r="H70" s="367" t="e">
        <f t="shared" si="7"/>
        <v>#DIV/0!</v>
      </c>
    </row>
    <row r="71" spans="1:8" x14ac:dyDescent="0.25">
      <c r="A71" s="254"/>
      <c r="B71" s="254"/>
      <c r="C71" s="254"/>
      <c r="D71" s="254"/>
      <c r="E71" s="366"/>
      <c r="F71" s="366"/>
      <c r="G71" s="367" t="e">
        <f t="shared" ref="G71" si="8">E71/F71</f>
        <v>#DIV/0!</v>
      </c>
      <c r="H71" s="367" t="e">
        <f t="shared" si="7"/>
        <v>#DIV/0!</v>
      </c>
    </row>
  </sheetData>
  <sheetProtection sheet="1" objects="1" scenarios="1" selectLockedCells="1"/>
  <customSheetViews>
    <customSheetView guid="{DDFF3EBC-2CED-4439-A844-7B6A9C88C75C}">
      <selection activeCell="O9" sqref="O9"/>
      <pageMargins left="0.7" right="0.7" top="0.75" bottom="0.75" header="0.3" footer="0.3"/>
      <pageSetup orientation="portrait" horizontalDpi="1200" verticalDpi="1200" r:id="rId1"/>
    </customSheetView>
    <customSheetView guid="{B51176BD-3A7B-4ED1-B67D-463289B65E73}">
      <selection activeCell="O9" sqref="O9"/>
      <pageMargins left="0.7" right="0.7" top="0.75" bottom="0.75" header="0.3" footer="0.3"/>
      <pageSetup orientation="portrait" horizontalDpi="1200" verticalDpi="1200" r:id="rId2"/>
    </customSheetView>
  </customSheetViews>
  <mergeCells count="5">
    <mergeCell ref="J2:K2"/>
    <mergeCell ref="J3:K3"/>
    <mergeCell ref="J4:K4"/>
    <mergeCell ref="J7:M10"/>
    <mergeCell ref="J5:K5"/>
  </mergeCells>
  <conditionalFormatting sqref="L4:V4">
    <cfRule type="cellIs" dxfId="2" priority="3" operator="greaterThan">
      <formula>L3</formula>
    </cfRule>
  </conditionalFormatting>
  <conditionalFormatting sqref="G2:G71">
    <cfRule type="containsErrors" dxfId="1" priority="2">
      <formula>ISERROR(G2)</formula>
    </cfRule>
  </conditionalFormatting>
  <conditionalFormatting sqref="H2:H71">
    <cfRule type="containsErrors" dxfId="0" priority="1">
      <formula>ISERROR(H2)</formula>
    </cfRule>
  </conditionalFormatting>
  <pageMargins left="0.7" right="0.7" top="0.75" bottom="0.75" header="0.3" footer="0.3"/>
  <pageSetup orientation="portrait" horizontalDpi="1200" verticalDpi="1200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theme="8" tint="-0.249977111117893"/>
  </sheetPr>
  <dimension ref="A1:U27"/>
  <sheetViews>
    <sheetView workbookViewId="0"/>
  </sheetViews>
  <sheetFormatPr defaultRowHeight="15" x14ac:dyDescent="0.25"/>
  <cols>
    <col min="1" max="1" width="10" style="57" customWidth="1"/>
    <col min="2" max="2" width="10" style="1" customWidth="1"/>
    <col min="3" max="3" width="10" style="57" customWidth="1"/>
    <col min="4" max="4" width="10" style="1" customWidth="1"/>
    <col min="5" max="5" width="10" style="57" customWidth="1"/>
    <col min="6" max="7" width="10" style="1" customWidth="1"/>
    <col min="8" max="8" width="1.7109375" style="1" customWidth="1"/>
    <col min="9" max="14" width="11.42578125" customWidth="1"/>
    <col min="15" max="15" width="2.28515625" customWidth="1"/>
    <col min="16" max="16" width="12.85546875" customWidth="1"/>
    <col min="17" max="17" width="4.28515625" customWidth="1"/>
    <col min="18" max="18" width="12.85546875" customWidth="1"/>
    <col min="19" max="19" width="4.28515625" customWidth="1"/>
    <col min="20" max="20" width="12.85546875" customWidth="1"/>
    <col min="21" max="21" width="4.28515625" customWidth="1"/>
    <col min="27" max="27" width="10.28515625" bestFit="1" customWidth="1"/>
  </cols>
  <sheetData>
    <row r="1" spans="1:21" ht="15.75" thickBot="1" x14ac:dyDescent="0.3">
      <c r="A1" s="58"/>
      <c r="B1" s="59"/>
      <c r="C1" s="759" t="s">
        <v>76</v>
      </c>
      <c r="D1" s="759"/>
      <c r="E1" s="759"/>
      <c r="F1" s="759"/>
      <c r="G1" s="74"/>
      <c r="I1" s="59"/>
      <c r="J1" s="746" t="s">
        <v>123</v>
      </c>
      <c r="K1" s="747"/>
      <c r="L1" s="747"/>
      <c r="M1" s="747"/>
      <c r="N1" s="747"/>
    </row>
    <row r="2" spans="1:21" ht="15.75" thickBot="1" x14ac:dyDescent="0.3">
      <c r="A2" s="764" t="s">
        <v>75</v>
      </c>
      <c r="B2" s="764"/>
      <c r="C2" s="64" t="s">
        <v>85</v>
      </c>
      <c r="D2" s="64" t="s">
        <v>88</v>
      </c>
      <c r="E2" s="64" t="s">
        <v>111</v>
      </c>
      <c r="F2" s="64" t="s">
        <v>86</v>
      </c>
      <c r="G2" s="64" t="s">
        <v>87</v>
      </c>
      <c r="I2" s="83" t="s">
        <v>75</v>
      </c>
      <c r="J2" s="84" t="str">
        <f>C2</f>
        <v>PHOENIX</v>
      </c>
      <c r="K2" s="84" t="str">
        <f t="shared" ref="K2:N2" si="0">D2</f>
        <v>TUCSON</v>
      </c>
      <c r="L2" s="84" t="str">
        <f t="shared" si="0"/>
        <v>FLAGSTAFF</v>
      </c>
      <c r="M2" s="84" t="str">
        <f t="shared" si="0"/>
        <v>ABQ</v>
      </c>
      <c r="N2" s="85" t="str">
        <f t="shared" si="0"/>
        <v>ELPASO</v>
      </c>
      <c r="P2" s="743" t="s">
        <v>89</v>
      </c>
      <c r="Q2" s="744"/>
      <c r="R2" s="744"/>
      <c r="S2" s="744"/>
      <c r="T2" s="744"/>
      <c r="U2" s="745"/>
    </row>
    <row r="3" spans="1:21" x14ac:dyDescent="0.25">
      <c r="A3" s="759" t="s">
        <v>112</v>
      </c>
      <c r="B3" s="759" t="s">
        <v>18</v>
      </c>
      <c r="C3" s="63"/>
      <c r="D3" s="63" t="s">
        <v>73</v>
      </c>
      <c r="E3" s="63" t="s">
        <v>73</v>
      </c>
      <c r="F3" s="63" t="s">
        <v>73</v>
      </c>
      <c r="G3" s="63" t="s">
        <v>73</v>
      </c>
      <c r="I3" s="760" t="s">
        <v>18</v>
      </c>
      <c r="J3" s="70"/>
      <c r="K3" s="70"/>
      <c r="L3" s="70"/>
      <c r="M3" s="70"/>
      <c r="N3" s="71"/>
      <c r="P3" s="66" t="s">
        <v>93</v>
      </c>
      <c r="Q3" s="67"/>
      <c r="R3" s="66" t="s">
        <v>80</v>
      </c>
      <c r="S3" s="67"/>
      <c r="T3" s="66" t="s">
        <v>101</v>
      </c>
      <c r="U3" s="67"/>
    </row>
    <row r="4" spans="1:21" ht="15.75" thickBot="1" x14ac:dyDescent="0.3">
      <c r="A4" s="759" t="s">
        <v>113</v>
      </c>
      <c r="B4" s="759" t="s">
        <v>19</v>
      </c>
      <c r="C4" s="63" t="s">
        <v>73</v>
      </c>
      <c r="D4" s="63"/>
      <c r="E4" s="63" t="s">
        <v>73</v>
      </c>
      <c r="F4" s="63" t="s">
        <v>73</v>
      </c>
      <c r="G4" s="63" t="s">
        <v>73</v>
      </c>
      <c r="I4" s="761"/>
      <c r="J4" s="60"/>
      <c r="K4" s="60"/>
      <c r="L4" s="60"/>
      <c r="M4" s="60"/>
      <c r="N4" s="86"/>
      <c r="P4" s="62" t="s">
        <v>90</v>
      </c>
      <c r="Q4" s="68"/>
      <c r="R4" s="62" t="s">
        <v>97</v>
      </c>
      <c r="S4" s="68"/>
      <c r="T4" s="62" t="s">
        <v>102</v>
      </c>
      <c r="U4" s="68"/>
    </row>
    <row r="5" spans="1:21" x14ac:dyDescent="0.25">
      <c r="A5" s="759" t="s">
        <v>114</v>
      </c>
      <c r="B5" s="759" t="s">
        <v>20</v>
      </c>
      <c r="C5" s="63" t="s">
        <v>73</v>
      </c>
      <c r="D5" s="63" t="s">
        <v>73</v>
      </c>
      <c r="E5" s="63"/>
      <c r="F5" s="63" t="s">
        <v>73</v>
      </c>
      <c r="G5" s="63" t="s">
        <v>73</v>
      </c>
      <c r="I5" s="760" t="s">
        <v>19</v>
      </c>
      <c r="J5" s="70"/>
      <c r="K5" s="70"/>
      <c r="L5" s="70"/>
      <c r="M5" s="70"/>
      <c r="N5" s="71"/>
      <c r="P5" s="62" t="s">
        <v>91</v>
      </c>
      <c r="Q5" s="68"/>
      <c r="R5" s="62" t="s">
        <v>81</v>
      </c>
      <c r="S5" s="68"/>
      <c r="T5" s="62" t="s">
        <v>103</v>
      </c>
      <c r="U5" s="68"/>
    </row>
    <row r="6" spans="1:21" ht="15.75" thickBot="1" x14ac:dyDescent="0.3">
      <c r="A6" s="759" t="s">
        <v>115</v>
      </c>
      <c r="B6" s="759" t="s">
        <v>9</v>
      </c>
      <c r="C6" s="63" t="s">
        <v>73</v>
      </c>
      <c r="D6" s="63" t="s">
        <v>73</v>
      </c>
      <c r="E6" s="63" t="s">
        <v>73</v>
      </c>
      <c r="F6" s="63"/>
      <c r="G6" s="63" t="s">
        <v>73</v>
      </c>
      <c r="I6" s="762"/>
      <c r="J6" s="72"/>
      <c r="K6" s="72"/>
      <c r="L6" s="72"/>
      <c r="M6" s="72"/>
      <c r="N6" s="73"/>
      <c r="P6" s="62" t="s">
        <v>92</v>
      </c>
      <c r="Q6" s="68"/>
      <c r="R6" s="62" t="s">
        <v>79</v>
      </c>
      <c r="S6" s="68"/>
      <c r="T6" s="62" t="s">
        <v>104</v>
      </c>
      <c r="U6" s="68"/>
    </row>
    <row r="7" spans="1:21" x14ac:dyDescent="0.25">
      <c r="A7" s="759" t="s">
        <v>116</v>
      </c>
      <c r="B7" s="759" t="s">
        <v>10</v>
      </c>
      <c r="C7" s="63" t="s">
        <v>73</v>
      </c>
      <c r="D7" s="63" t="s">
        <v>73</v>
      </c>
      <c r="E7" s="63" t="s">
        <v>73</v>
      </c>
      <c r="F7" s="63" t="s">
        <v>73</v>
      </c>
      <c r="G7" s="63"/>
      <c r="I7" s="760" t="s">
        <v>20</v>
      </c>
      <c r="J7" s="70"/>
      <c r="K7" s="70"/>
      <c r="L7" s="70"/>
      <c r="M7" s="70"/>
      <c r="N7" s="71"/>
      <c r="P7" s="62" t="s">
        <v>94</v>
      </c>
      <c r="Q7" s="68"/>
      <c r="R7" s="62" t="s">
        <v>82</v>
      </c>
      <c r="S7" s="68"/>
      <c r="T7" s="62" t="s">
        <v>105</v>
      </c>
      <c r="U7" s="68"/>
    </row>
    <row r="8" spans="1:21" ht="15.75" thickBot="1" x14ac:dyDescent="0.3">
      <c r="A8" s="759" t="s">
        <v>117</v>
      </c>
      <c r="B8" s="759" t="s">
        <v>11</v>
      </c>
      <c r="C8" s="63"/>
      <c r="D8" s="63" t="s">
        <v>73</v>
      </c>
      <c r="E8" s="63" t="s">
        <v>73</v>
      </c>
      <c r="F8" s="63" t="s">
        <v>73</v>
      </c>
      <c r="G8" s="63" t="s">
        <v>73</v>
      </c>
      <c r="I8" s="762"/>
      <c r="J8" s="72"/>
      <c r="K8" s="72"/>
      <c r="L8" s="72"/>
      <c r="M8" s="72"/>
      <c r="N8" s="73"/>
      <c r="P8" s="62" t="s">
        <v>95</v>
      </c>
      <c r="Q8" s="68"/>
      <c r="R8" s="62" t="s">
        <v>98</v>
      </c>
      <c r="S8" s="68"/>
      <c r="T8" s="62"/>
      <c r="U8" s="68"/>
    </row>
    <row r="9" spans="1:21" x14ac:dyDescent="0.25">
      <c r="A9" s="759" t="s">
        <v>118</v>
      </c>
      <c r="B9" s="759" t="s">
        <v>12</v>
      </c>
      <c r="C9" s="63" t="s">
        <v>73</v>
      </c>
      <c r="D9" s="63"/>
      <c r="E9" s="63" t="s">
        <v>73</v>
      </c>
      <c r="F9" s="63" t="s">
        <v>73</v>
      </c>
      <c r="G9" s="63" t="s">
        <v>73</v>
      </c>
      <c r="I9" s="760" t="s">
        <v>9</v>
      </c>
      <c r="J9" s="70"/>
      <c r="K9" s="70"/>
      <c r="L9" s="70"/>
      <c r="M9" s="70"/>
      <c r="N9" s="71"/>
      <c r="P9" s="62" t="s">
        <v>96</v>
      </c>
      <c r="Q9" s="68"/>
      <c r="R9" s="62" t="s">
        <v>99</v>
      </c>
      <c r="S9" s="68"/>
      <c r="T9" s="62"/>
      <c r="U9" s="68"/>
    </row>
    <row r="10" spans="1:21" ht="15" customHeight="1" thickBot="1" x14ac:dyDescent="0.3">
      <c r="A10" s="759" t="s">
        <v>13</v>
      </c>
      <c r="B10" s="759" t="s">
        <v>13</v>
      </c>
      <c r="C10" s="63" t="s">
        <v>73</v>
      </c>
      <c r="D10" s="63" t="s">
        <v>73</v>
      </c>
      <c r="E10" s="63"/>
      <c r="F10" s="63" t="s">
        <v>73</v>
      </c>
      <c r="G10" s="63" t="s">
        <v>73</v>
      </c>
      <c r="I10" s="762"/>
      <c r="J10" s="72"/>
      <c r="K10" s="72"/>
      <c r="L10" s="72"/>
      <c r="M10" s="72"/>
      <c r="N10" s="73"/>
      <c r="P10" s="62"/>
      <c r="Q10" s="68"/>
      <c r="R10" s="62" t="s">
        <v>133</v>
      </c>
      <c r="S10" s="68"/>
      <c r="T10" s="62"/>
      <c r="U10" s="68"/>
    </row>
    <row r="11" spans="1:21" x14ac:dyDescent="0.25">
      <c r="A11" s="759" t="s">
        <v>119</v>
      </c>
      <c r="B11" s="759" t="s">
        <v>14</v>
      </c>
      <c r="C11" s="63" t="s">
        <v>73</v>
      </c>
      <c r="D11" s="63" t="s">
        <v>73</v>
      </c>
      <c r="E11" s="63" t="s">
        <v>73</v>
      </c>
      <c r="F11" s="63"/>
      <c r="G11" s="63" t="s">
        <v>73</v>
      </c>
      <c r="I11" s="760" t="s">
        <v>10</v>
      </c>
      <c r="J11" s="70"/>
      <c r="K11" s="70"/>
      <c r="L11" s="70"/>
      <c r="M11" s="70"/>
      <c r="N11" s="71"/>
      <c r="P11" s="62"/>
      <c r="Q11" s="68"/>
      <c r="R11" s="62" t="s">
        <v>100</v>
      </c>
      <c r="S11" s="68"/>
      <c r="T11" s="62"/>
      <c r="U11" s="68"/>
    </row>
    <row r="12" spans="1:21" ht="15.75" thickBot="1" x14ac:dyDescent="0.3">
      <c r="A12" s="759" t="s">
        <v>120</v>
      </c>
      <c r="B12" s="759" t="s">
        <v>15</v>
      </c>
      <c r="C12" s="63" t="s">
        <v>73</v>
      </c>
      <c r="D12" s="63" t="s">
        <v>73</v>
      </c>
      <c r="E12" s="63" t="s">
        <v>73</v>
      </c>
      <c r="F12" s="63" t="s">
        <v>73</v>
      </c>
      <c r="G12" s="63"/>
      <c r="I12" s="762"/>
      <c r="J12" s="72"/>
      <c r="K12" s="72"/>
      <c r="L12" s="72"/>
      <c r="M12" s="72"/>
      <c r="N12" s="73"/>
      <c r="P12" s="62"/>
      <c r="Q12" s="68"/>
      <c r="R12" s="62"/>
      <c r="S12" s="68"/>
      <c r="T12" s="62"/>
      <c r="U12" s="68"/>
    </row>
    <row r="13" spans="1:21" x14ac:dyDescent="0.25">
      <c r="A13" s="759" t="s">
        <v>121</v>
      </c>
      <c r="B13" s="759" t="s">
        <v>16</v>
      </c>
      <c r="C13" s="63"/>
      <c r="D13" s="63" t="s">
        <v>73</v>
      </c>
      <c r="E13" s="63" t="s">
        <v>73</v>
      </c>
      <c r="F13" s="63" t="s">
        <v>73</v>
      </c>
      <c r="G13" s="63" t="s">
        <v>73</v>
      </c>
      <c r="I13" s="760" t="s">
        <v>11</v>
      </c>
      <c r="J13" s="70"/>
      <c r="K13" s="70"/>
      <c r="L13" s="70"/>
      <c r="M13" s="70"/>
      <c r="N13" s="71"/>
      <c r="P13" s="62"/>
      <c r="Q13" s="68"/>
      <c r="R13" s="62"/>
      <c r="S13" s="68"/>
      <c r="T13" s="62"/>
      <c r="U13" s="68"/>
    </row>
    <row r="14" spans="1:21" ht="15.75" thickBot="1" x14ac:dyDescent="0.3">
      <c r="A14" s="759" t="s">
        <v>122</v>
      </c>
      <c r="B14" s="759" t="s">
        <v>17</v>
      </c>
      <c r="C14" s="63" t="s">
        <v>73</v>
      </c>
      <c r="D14" s="63"/>
      <c r="E14" s="63" t="s">
        <v>73</v>
      </c>
      <c r="F14" s="63" t="s">
        <v>73</v>
      </c>
      <c r="G14" s="63" t="s">
        <v>73</v>
      </c>
      <c r="I14" s="762"/>
      <c r="J14" s="72"/>
      <c r="K14" s="72"/>
      <c r="L14" s="72"/>
      <c r="M14" s="72"/>
      <c r="N14" s="73"/>
      <c r="P14" s="61"/>
      <c r="Q14" s="69"/>
      <c r="R14" s="61"/>
      <c r="S14" s="69"/>
      <c r="T14" s="61"/>
      <c r="U14" s="69"/>
    </row>
    <row r="15" spans="1:21" ht="16.5" thickBot="1" x14ac:dyDescent="0.3">
      <c r="A15" s="758" t="s">
        <v>77</v>
      </c>
      <c r="B15" s="758"/>
      <c r="C15" s="81">
        <f>COUNTA(C3:C14)</f>
        <v>9</v>
      </c>
      <c r="D15" s="81">
        <f t="shared" ref="D15:F15" si="1">COUNTA(D3:D14)</f>
        <v>9</v>
      </c>
      <c r="E15" s="82">
        <f t="shared" si="1"/>
        <v>10</v>
      </c>
      <c r="F15" s="82">
        <f t="shared" si="1"/>
        <v>10</v>
      </c>
      <c r="G15" s="82">
        <f t="shared" ref="G15" si="2">COUNTA(G3:G14)</f>
        <v>10</v>
      </c>
      <c r="I15" s="760" t="s">
        <v>12</v>
      </c>
      <c r="J15" s="70"/>
      <c r="K15" s="70"/>
      <c r="L15" s="70"/>
      <c r="M15" s="70"/>
      <c r="N15" s="71"/>
    </row>
    <row r="16" spans="1:21" ht="15.75" thickBot="1" x14ac:dyDescent="0.3">
      <c r="A16" s="763" t="s">
        <v>110</v>
      </c>
      <c r="B16" s="763"/>
      <c r="C16" s="75">
        <v>1</v>
      </c>
      <c r="D16" s="77">
        <v>2</v>
      </c>
      <c r="E16" s="75">
        <v>3</v>
      </c>
      <c r="F16" s="75">
        <v>4</v>
      </c>
      <c r="G16" s="75">
        <v>5</v>
      </c>
      <c r="I16" s="762"/>
      <c r="J16" s="72"/>
      <c r="K16" s="72"/>
      <c r="L16" s="72"/>
      <c r="M16" s="72"/>
      <c r="N16" s="73"/>
      <c r="P16" s="749" t="s">
        <v>124</v>
      </c>
      <c r="Q16" s="750"/>
      <c r="R16" s="750"/>
      <c r="S16" s="750"/>
      <c r="T16" s="750"/>
      <c r="U16" s="751"/>
    </row>
    <row r="17" spans="1:21" ht="15" customHeight="1" x14ac:dyDescent="0.25">
      <c r="A17" s="763" t="s">
        <v>74</v>
      </c>
      <c r="B17" s="763"/>
      <c r="C17" s="76">
        <f>$D$27/C16</f>
        <v>52.083333333333336</v>
      </c>
      <c r="D17" s="78">
        <f>$D$27/D16</f>
        <v>26.041666666666668</v>
      </c>
      <c r="E17" s="76">
        <f>$D$27/E16</f>
        <v>17.361111111111111</v>
      </c>
      <c r="F17" s="76">
        <f>$D$27/F16</f>
        <v>13.020833333333334</v>
      </c>
      <c r="G17" s="76">
        <f>$D$27/G16</f>
        <v>10.416666666666668</v>
      </c>
      <c r="I17" s="760" t="s">
        <v>13</v>
      </c>
      <c r="J17" s="70"/>
      <c r="K17" s="70"/>
      <c r="L17" s="70"/>
      <c r="M17" s="70"/>
      <c r="N17" s="71"/>
      <c r="P17" s="752"/>
      <c r="Q17" s="753"/>
      <c r="R17" s="753"/>
      <c r="S17" s="753"/>
      <c r="T17" s="753"/>
      <c r="U17" s="754"/>
    </row>
    <row r="18" spans="1:21" s="1" customFormat="1" ht="15" customHeight="1" thickBot="1" x14ac:dyDescent="0.3">
      <c r="A18" s="763" t="s">
        <v>78</v>
      </c>
      <c r="B18" s="763"/>
      <c r="C18" s="763"/>
      <c r="D18" s="763"/>
      <c r="E18" s="763"/>
      <c r="F18" s="763"/>
      <c r="G18" s="763"/>
      <c r="I18" s="762"/>
      <c r="J18" s="72"/>
      <c r="K18" s="72"/>
      <c r="L18" s="72"/>
      <c r="M18" s="72"/>
      <c r="N18" s="73"/>
      <c r="P18" s="752"/>
      <c r="Q18" s="753"/>
      <c r="R18" s="753"/>
      <c r="S18" s="753"/>
      <c r="T18" s="753"/>
      <c r="U18" s="754"/>
    </row>
    <row r="19" spans="1:21" s="1" customFormat="1" x14ac:dyDescent="0.25">
      <c r="A19" s="763"/>
      <c r="B19" s="763"/>
      <c r="C19" s="763"/>
      <c r="D19" s="763"/>
      <c r="E19" s="763"/>
      <c r="F19" s="763"/>
      <c r="G19" s="763"/>
      <c r="I19" s="760" t="s">
        <v>14</v>
      </c>
      <c r="J19" s="70"/>
      <c r="K19" s="70"/>
      <c r="L19" s="70"/>
      <c r="M19" s="70"/>
      <c r="N19" s="71"/>
      <c r="P19" s="752"/>
      <c r="Q19" s="753"/>
      <c r="R19" s="753"/>
      <c r="S19" s="753"/>
      <c r="T19" s="753"/>
      <c r="U19" s="754"/>
    </row>
    <row r="20" spans="1:21" s="1" customFormat="1" ht="15.75" thickBot="1" x14ac:dyDescent="0.3">
      <c r="A20" s="763"/>
      <c r="B20" s="763"/>
      <c r="C20" s="763"/>
      <c r="D20" s="763"/>
      <c r="E20" s="763"/>
      <c r="F20" s="763"/>
      <c r="G20" s="763"/>
      <c r="I20" s="762"/>
      <c r="J20" s="72"/>
      <c r="K20" s="72"/>
      <c r="L20" s="72"/>
      <c r="M20" s="72"/>
      <c r="N20" s="73"/>
      <c r="O20"/>
      <c r="P20" s="752"/>
      <c r="Q20" s="753"/>
      <c r="R20" s="753"/>
      <c r="S20" s="753"/>
      <c r="T20" s="753"/>
      <c r="U20" s="754"/>
    </row>
    <row r="21" spans="1:21" x14ac:dyDescent="0.25">
      <c r="I21" s="760" t="s">
        <v>15</v>
      </c>
      <c r="J21" s="70"/>
      <c r="K21" s="70"/>
      <c r="L21" s="70"/>
      <c r="M21" s="70"/>
      <c r="N21" s="71"/>
      <c r="P21" s="752"/>
      <c r="Q21" s="753"/>
      <c r="R21" s="753"/>
      <c r="S21" s="753"/>
      <c r="T21" s="753"/>
      <c r="U21" s="754"/>
    </row>
    <row r="22" spans="1:21" s="1" customFormat="1" ht="15.75" thickBot="1" x14ac:dyDescent="0.3">
      <c r="C22" s="65" t="s">
        <v>54</v>
      </c>
      <c r="D22" s="63" t="s">
        <v>71</v>
      </c>
      <c r="E22" s="65" t="s">
        <v>72</v>
      </c>
      <c r="F22"/>
      <c r="I22" s="762"/>
      <c r="J22" s="72"/>
      <c r="K22" s="72"/>
      <c r="L22" s="72"/>
      <c r="M22" s="72"/>
      <c r="N22" s="73"/>
      <c r="O22"/>
      <c r="P22" s="752"/>
      <c r="Q22" s="753"/>
      <c r="R22" s="753"/>
      <c r="S22" s="753"/>
      <c r="T22" s="753"/>
      <c r="U22" s="754"/>
    </row>
    <row r="23" spans="1:21" s="1" customFormat="1" x14ac:dyDescent="0.25">
      <c r="B23" s="63" t="s">
        <v>107</v>
      </c>
      <c r="C23" s="65">
        <v>2500</v>
      </c>
      <c r="D23" s="63">
        <v>12</v>
      </c>
      <c r="E23" s="65">
        <f>C23/D23</f>
        <v>208.33333333333334</v>
      </c>
      <c r="I23" s="760" t="s">
        <v>16</v>
      </c>
      <c r="J23" s="70"/>
      <c r="K23" s="70"/>
      <c r="L23" s="70"/>
      <c r="M23" s="70"/>
      <c r="N23" s="71"/>
      <c r="O23"/>
      <c r="P23" s="752"/>
      <c r="Q23" s="753"/>
      <c r="R23" s="753"/>
      <c r="S23" s="753"/>
      <c r="T23" s="753"/>
      <c r="U23" s="754"/>
    </row>
    <row r="24" spans="1:21" s="1" customFormat="1" ht="15.75" thickBot="1" x14ac:dyDescent="0.3">
      <c r="B24" s="63" t="s">
        <v>108</v>
      </c>
      <c r="C24" s="65">
        <v>2500</v>
      </c>
      <c r="D24" s="63">
        <v>12</v>
      </c>
      <c r="E24" s="65">
        <f>C24/D24</f>
        <v>208.33333333333334</v>
      </c>
      <c r="I24" s="762"/>
      <c r="J24" s="72"/>
      <c r="K24" s="72"/>
      <c r="L24" s="72"/>
      <c r="M24" s="72"/>
      <c r="N24" s="73"/>
      <c r="O24"/>
      <c r="P24" s="755"/>
      <c r="Q24" s="756"/>
      <c r="R24" s="756"/>
      <c r="S24" s="756"/>
      <c r="T24" s="756"/>
      <c r="U24" s="757"/>
    </row>
    <row r="25" spans="1:21" s="1" customFormat="1" x14ac:dyDescent="0.25">
      <c r="B25"/>
      <c r="C25" s="758" t="s">
        <v>106</v>
      </c>
      <c r="D25" s="748" t="s">
        <v>109</v>
      </c>
      <c r="E25" s="758" t="s">
        <v>106</v>
      </c>
      <c r="F25" s="748" t="s">
        <v>109</v>
      </c>
      <c r="I25" s="760" t="s">
        <v>17</v>
      </c>
      <c r="J25" s="70"/>
      <c r="K25" s="70"/>
      <c r="L25" s="70"/>
      <c r="M25" s="70"/>
      <c r="N25" s="71"/>
      <c r="O25"/>
    </row>
    <row r="26" spans="1:21" ht="15.75" thickBot="1" x14ac:dyDescent="0.3">
      <c r="B26"/>
      <c r="C26" s="758"/>
      <c r="D26" s="748"/>
      <c r="E26" s="758"/>
      <c r="F26" s="748"/>
      <c r="I26" s="762"/>
      <c r="J26" s="72"/>
      <c r="K26" s="72"/>
      <c r="L26" s="72"/>
      <c r="M26" s="72"/>
      <c r="N26" s="73"/>
    </row>
    <row r="27" spans="1:21" x14ac:dyDescent="0.25">
      <c r="B27"/>
      <c r="C27" s="77">
        <v>4</v>
      </c>
      <c r="D27" s="78">
        <f>E23/C27</f>
        <v>52.083333333333336</v>
      </c>
      <c r="E27" s="79">
        <v>5</v>
      </c>
      <c r="F27" s="80">
        <f>E23/E27</f>
        <v>41.666666666666671</v>
      </c>
    </row>
  </sheetData>
  <customSheetViews>
    <customSheetView guid="{DDFF3EBC-2CED-4439-A844-7B6A9C88C75C}" state="hidden">
      <pageMargins left="0.7" right="0.7" top="0.75" bottom="0.75" header="0.3" footer="0.3"/>
    </customSheetView>
    <customSheetView guid="{B51176BD-3A7B-4ED1-B67D-463289B65E73}" state="hidden">
      <pageMargins left="0.7" right="0.7" top="0.75" bottom="0.75" header="0.3" footer="0.3"/>
    </customSheetView>
  </customSheetViews>
  <mergeCells count="37">
    <mergeCell ref="I7:I8"/>
    <mergeCell ref="I9:I10"/>
    <mergeCell ref="I11:I12"/>
    <mergeCell ref="I13:I14"/>
    <mergeCell ref="I15:I16"/>
    <mergeCell ref="A17:B17"/>
    <mergeCell ref="I19:I20"/>
    <mergeCell ref="I21:I22"/>
    <mergeCell ref="I23:I24"/>
    <mergeCell ref="I25:I26"/>
    <mergeCell ref="I17:I18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9:B9"/>
    <mergeCell ref="P2:U2"/>
    <mergeCell ref="J1:N1"/>
    <mergeCell ref="F25:F26"/>
    <mergeCell ref="P16:U24"/>
    <mergeCell ref="A15:B15"/>
    <mergeCell ref="C1:F1"/>
    <mergeCell ref="C25:C26"/>
    <mergeCell ref="D25:D26"/>
    <mergeCell ref="E25:E26"/>
    <mergeCell ref="I3:I4"/>
    <mergeCell ref="I5:I6"/>
    <mergeCell ref="A18:G20"/>
    <mergeCell ref="A16:B16"/>
    <mergeCell ref="A2:B2"/>
    <mergeCell ref="A3:B3"/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7A1E3"/>
  </sheetPr>
  <dimension ref="A1:AM65"/>
  <sheetViews>
    <sheetView zoomScale="90" zoomScaleNormal="90" workbookViewId="0">
      <selection activeCell="G4" sqref="G4:H9"/>
    </sheetView>
  </sheetViews>
  <sheetFormatPr defaultRowHeight="15" x14ac:dyDescent="0.25"/>
  <cols>
    <col min="1" max="1" width="27.140625" bestFit="1" customWidth="1"/>
    <col min="2" max="2" width="8.7109375" bestFit="1" customWidth="1"/>
    <col min="5" max="5" width="13.140625" customWidth="1"/>
    <col min="6" max="6" width="13" customWidth="1"/>
    <col min="9" max="9" width="1.28515625" customWidth="1"/>
    <col min="10" max="10" width="16" customWidth="1"/>
    <col min="11" max="12" width="4.42578125" customWidth="1"/>
    <col min="13" max="34" width="4.5703125" customWidth="1"/>
    <col min="35" max="38" width="7.140625" customWidth="1"/>
  </cols>
  <sheetData>
    <row r="1" spans="1:39" ht="15.75" thickBot="1" x14ac:dyDescent="0.3">
      <c r="A1" s="603" t="s">
        <v>252</v>
      </c>
      <c r="B1" s="604"/>
      <c r="C1" s="604"/>
      <c r="D1" s="604"/>
      <c r="E1" s="604"/>
      <c r="F1" s="604"/>
      <c r="G1" s="604"/>
      <c r="H1" s="605"/>
      <c r="I1" s="363"/>
      <c r="J1" s="586" t="s">
        <v>255</v>
      </c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8"/>
      <c r="AM1" s="363"/>
    </row>
    <row r="2" spans="1:39" s="106" customFormat="1" ht="30" customHeight="1" x14ac:dyDescent="0.25">
      <c r="A2" s="591" t="s">
        <v>52</v>
      </c>
      <c r="B2" s="593" t="s">
        <v>207</v>
      </c>
      <c r="C2" s="593" t="s">
        <v>206</v>
      </c>
      <c r="D2" s="595" t="s">
        <v>205</v>
      </c>
      <c r="E2" s="597" t="s">
        <v>204</v>
      </c>
      <c r="F2" s="599" t="s">
        <v>203</v>
      </c>
      <c r="G2" s="597" t="s">
        <v>202</v>
      </c>
      <c r="H2" s="589" t="s">
        <v>201</v>
      </c>
      <c r="I2" s="364"/>
      <c r="J2" s="601" t="s">
        <v>52</v>
      </c>
      <c r="K2" s="606" t="s">
        <v>18</v>
      </c>
      <c r="L2" s="607"/>
      <c r="M2" s="608" t="s">
        <v>19</v>
      </c>
      <c r="N2" s="609"/>
      <c r="O2" s="606" t="s">
        <v>20</v>
      </c>
      <c r="P2" s="610"/>
      <c r="Q2" s="608" t="s">
        <v>9</v>
      </c>
      <c r="R2" s="609"/>
      <c r="S2" s="606" t="s">
        <v>10</v>
      </c>
      <c r="T2" s="610"/>
      <c r="U2" s="608" t="s">
        <v>11</v>
      </c>
      <c r="V2" s="609"/>
      <c r="W2" s="606" t="s">
        <v>12</v>
      </c>
      <c r="X2" s="610"/>
      <c r="Y2" s="608" t="s">
        <v>13</v>
      </c>
      <c r="Z2" s="609"/>
      <c r="AA2" s="606" t="s">
        <v>14</v>
      </c>
      <c r="AB2" s="610"/>
      <c r="AC2" s="608" t="s">
        <v>15</v>
      </c>
      <c r="AD2" s="609"/>
      <c r="AE2" s="606" t="s">
        <v>16</v>
      </c>
      <c r="AF2" s="610"/>
      <c r="AG2" s="608" t="s">
        <v>17</v>
      </c>
      <c r="AH2" s="609"/>
      <c r="AI2" s="619" t="s">
        <v>61</v>
      </c>
      <c r="AJ2" s="620"/>
      <c r="AK2" s="621" t="s">
        <v>266</v>
      </c>
      <c r="AL2" s="622"/>
      <c r="AM2" s="364"/>
    </row>
    <row r="3" spans="1:39" ht="15.75" thickBot="1" x14ac:dyDescent="0.3">
      <c r="A3" s="592"/>
      <c r="B3" s="594"/>
      <c r="C3" s="594"/>
      <c r="D3" s="596"/>
      <c r="E3" s="598"/>
      <c r="F3" s="600"/>
      <c r="G3" s="598"/>
      <c r="H3" s="590"/>
      <c r="I3" s="364"/>
      <c r="J3" s="602"/>
      <c r="K3" s="408" t="s">
        <v>253</v>
      </c>
      <c r="L3" s="409" t="s">
        <v>254</v>
      </c>
      <c r="M3" s="410" t="s">
        <v>253</v>
      </c>
      <c r="N3" s="411" t="s">
        <v>254</v>
      </c>
      <c r="O3" s="408" t="s">
        <v>253</v>
      </c>
      <c r="P3" s="412" t="s">
        <v>254</v>
      </c>
      <c r="Q3" s="410" t="s">
        <v>253</v>
      </c>
      <c r="R3" s="411" t="s">
        <v>254</v>
      </c>
      <c r="S3" s="408" t="s">
        <v>253</v>
      </c>
      <c r="T3" s="412" t="s">
        <v>254</v>
      </c>
      <c r="U3" s="410" t="s">
        <v>253</v>
      </c>
      <c r="V3" s="411" t="s">
        <v>254</v>
      </c>
      <c r="W3" s="408" t="s">
        <v>253</v>
      </c>
      <c r="X3" s="412" t="s">
        <v>254</v>
      </c>
      <c r="Y3" s="410" t="s">
        <v>253</v>
      </c>
      <c r="Z3" s="411" t="s">
        <v>254</v>
      </c>
      <c r="AA3" s="408" t="s">
        <v>253</v>
      </c>
      <c r="AB3" s="412" t="s">
        <v>254</v>
      </c>
      <c r="AC3" s="410" t="s">
        <v>253</v>
      </c>
      <c r="AD3" s="411" t="s">
        <v>254</v>
      </c>
      <c r="AE3" s="408" t="s">
        <v>253</v>
      </c>
      <c r="AF3" s="412" t="s">
        <v>254</v>
      </c>
      <c r="AG3" s="410" t="s">
        <v>253</v>
      </c>
      <c r="AH3" s="411" t="s">
        <v>254</v>
      </c>
      <c r="AI3" s="398" t="s">
        <v>253</v>
      </c>
      <c r="AJ3" s="399" t="s">
        <v>254</v>
      </c>
      <c r="AK3" s="400" t="s">
        <v>253</v>
      </c>
      <c r="AL3" s="401" t="s">
        <v>254</v>
      </c>
      <c r="AM3" s="363"/>
    </row>
    <row r="4" spans="1:39" x14ac:dyDescent="0.25">
      <c r="A4" s="578"/>
      <c r="B4" s="580"/>
      <c r="C4" s="582"/>
      <c r="D4" s="584"/>
      <c r="E4" s="574"/>
      <c r="F4" s="572"/>
      <c r="G4" s="574"/>
      <c r="H4" s="576"/>
      <c r="I4" s="364"/>
      <c r="J4" s="287" t="str">
        <f>IF(ISBLANK(A4),"",B4)</f>
        <v/>
      </c>
      <c r="K4" s="257"/>
      <c r="L4" s="418"/>
      <c r="M4" s="419"/>
      <c r="N4" s="419"/>
      <c r="O4" s="418"/>
      <c r="P4" s="418"/>
      <c r="Q4" s="419"/>
      <c r="R4" s="419"/>
      <c r="S4" s="418"/>
      <c r="T4" s="418"/>
      <c r="U4" s="419"/>
      <c r="V4" s="419"/>
      <c r="W4" s="418"/>
      <c r="X4" s="418"/>
      <c r="Y4" s="419"/>
      <c r="Z4" s="419"/>
      <c r="AA4" s="418"/>
      <c r="AB4" s="418"/>
      <c r="AC4" s="419"/>
      <c r="AD4" s="419"/>
      <c r="AE4" s="418"/>
      <c r="AF4" s="418"/>
      <c r="AG4" s="419"/>
      <c r="AH4" s="258"/>
      <c r="AI4" s="611">
        <f>SUM(K4,M4,O4,Q4,S4,U4,W4,Y4,AA4,AC4,AE4,AG4)</f>
        <v>0</v>
      </c>
      <c r="AJ4" s="613">
        <f>SUM(L4,N4,P4,R4,T4,V4,X4,Z4,AB4,AD4,AF4,AH4)</f>
        <v>0</v>
      </c>
      <c r="AK4" s="615">
        <f>IFERROR(AI4/G4,0)</f>
        <v>0</v>
      </c>
      <c r="AL4" s="617">
        <f>IFERROR(AJ4/H4,0)</f>
        <v>0</v>
      </c>
      <c r="AM4" s="363"/>
    </row>
    <row r="5" spans="1:39" ht="15.75" thickBot="1" x14ac:dyDescent="0.3">
      <c r="A5" s="579"/>
      <c r="B5" s="581"/>
      <c r="C5" s="583"/>
      <c r="D5" s="585"/>
      <c r="E5" s="575"/>
      <c r="F5" s="573"/>
      <c r="G5" s="575"/>
      <c r="H5" s="577"/>
      <c r="I5" s="364"/>
      <c r="J5" s="391" t="s">
        <v>206</v>
      </c>
      <c r="K5" s="502" t="str">
        <f>IF(ROUND($G4/12,2)=0,"",ROUND($G4/12,2))</f>
        <v/>
      </c>
      <c r="L5" s="503" t="str">
        <f>IF(ROUND($H4/12,2)=0,"",ROUND($H4/12,2))</f>
        <v/>
      </c>
      <c r="M5" s="500" t="str">
        <f>IFERROR(IF(ROUND($G4/12,2)=0,"",ROUND($G4/12,2))+K5,"")</f>
        <v/>
      </c>
      <c r="N5" s="504" t="str">
        <f>IFERROR(IF(ROUND($H4/12,2)=0,"",ROUND($H4/12,2))+L5,"")</f>
        <v/>
      </c>
      <c r="O5" s="501" t="str">
        <f t="shared" ref="O5" si="0">IFERROR(IF(ROUND($G4/12,2)=0,"",ROUND($G4/12,2))+M5,"")</f>
        <v/>
      </c>
      <c r="P5" s="505" t="str">
        <f t="shared" ref="P5" si="1">IFERROR(IF(ROUND($H4/12,2)=0,"",ROUND($H4/12,2))+N5,"")</f>
        <v/>
      </c>
      <c r="Q5" s="500" t="str">
        <f t="shared" ref="Q5" si="2">IFERROR(IF(ROUND($G4/12,2)=0,"",ROUND($G4/12,2))+O5,"")</f>
        <v/>
      </c>
      <c r="R5" s="504" t="str">
        <f t="shared" ref="R5" si="3">IFERROR(IF(ROUND($H4/12,2)=0,"",ROUND($H4/12,2))+P5,"")</f>
        <v/>
      </c>
      <c r="S5" s="501" t="str">
        <f t="shared" ref="S5" si="4">IFERROR(IF(ROUND($G4/12,2)=0,"",ROUND($G4/12,2))+Q5,"")</f>
        <v/>
      </c>
      <c r="T5" s="505" t="str">
        <f t="shared" ref="T5" si="5">IFERROR(IF(ROUND($H4/12,2)=0,"",ROUND($H4/12,2))+R5,"")</f>
        <v/>
      </c>
      <c r="U5" s="500" t="str">
        <f t="shared" ref="U5" si="6">IFERROR(IF(ROUND($G4/12,2)=0,"",ROUND($G4/12,2))+S5,"")</f>
        <v/>
      </c>
      <c r="V5" s="504" t="str">
        <f t="shared" ref="V5" si="7">IFERROR(IF(ROUND($H4/12,2)=0,"",ROUND($H4/12,2))+T5,"")</f>
        <v/>
      </c>
      <c r="W5" s="501" t="str">
        <f t="shared" ref="W5" si="8">IFERROR(IF(ROUND($G4/12,2)=0,"",ROUND($G4/12,2))+U5,"")</f>
        <v/>
      </c>
      <c r="X5" s="505" t="str">
        <f t="shared" ref="X5" si="9">IFERROR(IF(ROUND($H4/12,2)=0,"",ROUND($H4/12,2))+V5,"")</f>
        <v/>
      </c>
      <c r="Y5" s="500" t="str">
        <f t="shared" ref="Y5" si="10">IFERROR(IF(ROUND($G4/12,2)=0,"",ROUND($G4/12,2))+W5,"")</f>
        <v/>
      </c>
      <c r="Z5" s="504" t="str">
        <f t="shared" ref="Z5" si="11">IFERROR(IF(ROUND($H4/12,2)=0,"",ROUND($H4/12,2))+X5,"")</f>
        <v/>
      </c>
      <c r="AA5" s="501" t="str">
        <f t="shared" ref="AA5" si="12">IFERROR(IF(ROUND($G4/12,2)=0,"",ROUND($G4/12,2))+Y5,"")</f>
        <v/>
      </c>
      <c r="AB5" s="505" t="str">
        <f t="shared" ref="AB5" si="13">IFERROR(IF(ROUND($H4/12,2)=0,"",ROUND($H4/12,2))+Z5,"")</f>
        <v/>
      </c>
      <c r="AC5" s="500" t="str">
        <f t="shared" ref="AC5" si="14">IFERROR(IF(ROUND($G4/12,2)=0,"",ROUND($G4/12,2))+AA5,"")</f>
        <v/>
      </c>
      <c r="AD5" s="504" t="str">
        <f t="shared" ref="AD5" si="15">IFERROR(IF(ROUND($H4/12,2)=0,"",ROUND($H4/12,2))+AB5,"")</f>
        <v/>
      </c>
      <c r="AE5" s="501" t="str">
        <f t="shared" ref="AE5" si="16">IFERROR(IF(ROUND($G4/12,2)=0,"",ROUND($G4/12,2))+AC5,"")</f>
        <v/>
      </c>
      <c r="AF5" s="505" t="str">
        <f t="shared" ref="AF5" si="17">IFERROR(IF(ROUND($H4/12,2)=0,"",ROUND($H4/12,2))+AD5,"")</f>
        <v/>
      </c>
      <c r="AG5" s="500" t="str">
        <f t="shared" ref="AG5" si="18">IFERROR(IF(ROUND($G4/12,2)=0,"",ROUND($G4/12,2))+AE5,"")</f>
        <v/>
      </c>
      <c r="AH5" s="506" t="str">
        <f t="shared" ref="AH5" si="19">IFERROR(IF(ROUND($H4/12,2)=0,"",ROUND($H4/12,2))+AF5,"")</f>
        <v/>
      </c>
      <c r="AI5" s="612"/>
      <c r="AJ5" s="614"/>
      <c r="AK5" s="616"/>
      <c r="AL5" s="618"/>
      <c r="AM5" s="363"/>
    </row>
    <row r="6" spans="1:39" x14ac:dyDescent="0.25">
      <c r="A6" s="578"/>
      <c r="B6" s="580"/>
      <c r="C6" s="582"/>
      <c r="D6" s="584"/>
      <c r="E6" s="574"/>
      <c r="F6" s="572"/>
      <c r="G6" s="574"/>
      <c r="H6" s="576"/>
      <c r="I6" s="364"/>
      <c r="J6" s="287" t="str">
        <f t="shared" ref="J6" si="20">IF(ISBLANK(A6),"",B6)</f>
        <v/>
      </c>
      <c r="K6" s="257"/>
      <c r="L6" s="418"/>
      <c r="M6" s="419"/>
      <c r="N6" s="419"/>
      <c r="O6" s="418"/>
      <c r="P6" s="418"/>
      <c r="Q6" s="419"/>
      <c r="R6" s="419"/>
      <c r="S6" s="418"/>
      <c r="T6" s="418"/>
      <c r="U6" s="419"/>
      <c r="V6" s="419"/>
      <c r="W6" s="418"/>
      <c r="X6" s="418"/>
      <c r="Y6" s="419"/>
      <c r="Z6" s="419"/>
      <c r="AA6" s="418"/>
      <c r="AB6" s="418"/>
      <c r="AC6" s="419"/>
      <c r="AD6" s="419"/>
      <c r="AE6" s="418"/>
      <c r="AF6" s="418"/>
      <c r="AG6" s="419"/>
      <c r="AH6" s="258"/>
      <c r="AI6" s="611">
        <f>SUM(K6,M6,O6,Q6,S6,U6,W6,Y6,AA6,AC6,AE6,AG6)</f>
        <v>0</v>
      </c>
      <c r="AJ6" s="613">
        <f>SUM(L6,N6,P6,R6,T6,V6,X6,Z6,AB6,AD6,AF6,AH6)</f>
        <v>0</v>
      </c>
      <c r="AK6" s="615">
        <f t="shared" ref="AK6" si="21">IFERROR(AI6/G6,0)</f>
        <v>0</v>
      </c>
      <c r="AL6" s="617">
        <f>IFERROR(AJ6/H6,0)</f>
        <v>0</v>
      </c>
      <c r="AM6" s="363"/>
    </row>
    <row r="7" spans="1:39" ht="15.75" thickBot="1" x14ac:dyDescent="0.3">
      <c r="A7" s="579"/>
      <c r="B7" s="581"/>
      <c r="C7" s="583"/>
      <c r="D7" s="585"/>
      <c r="E7" s="575"/>
      <c r="F7" s="573"/>
      <c r="G7" s="575"/>
      <c r="H7" s="577"/>
      <c r="I7" s="364"/>
      <c r="J7" s="391" t="s">
        <v>206</v>
      </c>
      <c r="K7" s="502" t="str">
        <f t="shared" ref="K7" si="22">IF(ROUND($G6/12,2)=0,"",ROUND($G6/12,2))</f>
        <v/>
      </c>
      <c r="L7" s="503" t="str">
        <f t="shared" ref="L7" si="23">IF(ROUND($H6/12,2)=0,"",ROUND($H6/12,2))</f>
        <v/>
      </c>
      <c r="M7" s="500" t="str">
        <f t="shared" ref="M7" si="24">IFERROR(IF(ROUND($G6/12,2)=0,"",ROUND($G6/12,2))+K7,"")</f>
        <v/>
      </c>
      <c r="N7" s="504" t="str">
        <f t="shared" ref="N7" si="25">IFERROR(IF(ROUND($H6/12,2)=0,"",ROUND($H6/12,2))+L7,"")</f>
        <v/>
      </c>
      <c r="O7" s="501" t="str">
        <f t="shared" ref="O7" si="26">IFERROR(IF(ROUND($G6/12,2)=0,"",ROUND($G6/12,2))+M7,"")</f>
        <v/>
      </c>
      <c r="P7" s="505" t="str">
        <f t="shared" ref="P7" si="27">IFERROR(IF(ROUND($H6/12,2)=0,"",ROUND($H6/12,2))+N7,"")</f>
        <v/>
      </c>
      <c r="Q7" s="500" t="str">
        <f t="shared" ref="Q7" si="28">IFERROR(IF(ROUND($G6/12,2)=0,"",ROUND($G6/12,2))+O7,"")</f>
        <v/>
      </c>
      <c r="R7" s="504" t="str">
        <f t="shared" ref="R7" si="29">IFERROR(IF(ROUND($H6/12,2)=0,"",ROUND($H6/12,2))+P7,"")</f>
        <v/>
      </c>
      <c r="S7" s="501" t="str">
        <f t="shared" ref="S7" si="30">IFERROR(IF(ROUND($G6/12,2)=0,"",ROUND($G6/12,2))+Q7,"")</f>
        <v/>
      </c>
      <c r="T7" s="505" t="str">
        <f t="shared" ref="T7" si="31">IFERROR(IF(ROUND($H6/12,2)=0,"",ROUND($H6/12,2))+R7,"")</f>
        <v/>
      </c>
      <c r="U7" s="500" t="str">
        <f t="shared" ref="U7" si="32">IFERROR(IF(ROUND($G6/12,2)=0,"",ROUND($G6/12,2))+S7,"")</f>
        <v/>
      </c>
      <c r="V7" s="504" t="str">
        <f t="shared" ref="V7" si="33">IFERROR(IF(ROUND($H6/12,2)=0,"",ROUND($H6/12,2))+T7,"")</f>
        <v/>
      </c>
      <c r="W7" s="501" t="str">
        <f t="shared" ref="W7" si="34">IFERROR(IF(ROUND($G6/12,2)=0,"",ROUND($G6/12,2))+U7,"")</f>
        <v/>
      </c>
      <c r="X7" s="505" t="str">
        <f t="shared" ref="X7" si="35">IFERROR(IF(ROUND($H6/12,2)=0,"",ROUND($H6/12,2))+V7,"")</f>
        <v/>
      </c>
      <c r="Y7" s="500" t="str">
        <f t="shared" ref="Y7" si="36">IFERROR(IF(ROUND($G6/12,2)=0,"",ROUND($G6/12,2))+W7,"")</f>
        <v/>
      </c>
      <c r="Z7" s="504" t="str">
        <f t="shared" ref="Z7" si="37">IFERROR(IF(ROUND($H6/12,2)=0,"",ROUND($H6/12,2))+X7,"")</f>
        <v/>
      </c>
      <c r="AA7" s="501" t="str">
        <f t="shared" ref="AA7" si="38">IFERROR(IF(ROUND($G6/12,2)=0,"",ROUND($G6/12,2))+Y7,"")</f>
        <v/>
      </c>
      <c r="AB7" s="505" t="str">
        <f t="shared" ref="AB7" si="39">IFERROR(IF(ROUND($H6/12,2)=0,"",ROUND($H6/12,2))+Z7,"")</f>
        <v/>
      </c>
      <c r="AC7" s="500" t="str">
        <f t="shared" ref="AC7" si="40">IFERROR(IF(ROUND($G6/12,2)=0,"",ROUND($G6/12,2))+AA7,"")</f>
        <v/>
      </c>
      <c r="AD7" s="504" t="str">
        <f t="shared" ref="AD7" si="41">IFERROR(IF(ROUND($H6/12,2)=0,"",ROUND($H6/12,2))+AB7,"")</f>
        <v/>
      </c>
      <c r="AE7" s="501" t="str">
        <f t="shared" ref="AE7" si="42">IFERROR(IF(ROUND($G6/12,2)=0,"",ROUND($G6/12,2))+AC7,"")</f>
        <v/>
      </c>
      <c r="AF7" s="505" t="str">
        <f t="shared" ref="AF7" si="43">IFERROR(IF(ROUND($H6/12,2)=0,"",ROUND($H6/12,2))+AD7,"")</f>
        <v/>
      </c>
      <c r="AG7" s="500" t="str">
        <f t="shared" ref="AG7" si="44">IFERROR(IF(ROUND($G6/12,2)=0,"",ROUND($G6/12,2))+AE7,"")</f>
        <v/>
      </c>
      <c r="AH7" s="506" t="str">
        <f t="shared" ref="AH7" si="45">IFERROR(IF(ROUND($H6/12,2)=0,"",ROUND($H6/12,2))+AF7,"")</f>
        <v/>
      </c>
      <c r="AI7" s="612"/>
      <c r="AJ7" s="614"/>
      <c r="AK7" s="616"/>
      <c r="AL7" s="618"/>
      <c r="AM7" s="363"/>
    </row>
    <row r="8" spans="1:39" x14ac:dyDescent="0.25">
      <c r="A8" s="578"/>
      <c r="B8" s="580"/>
      <c r="C8" s="582"/>
      <c r="D8" s="584"/>
      <c r="E8" s="574"/>
      <c r="F8" s="572"/>
      <c r="G8" s="574"/>
      <c r="H8" s="576"/>
      <c r="I8" s="364"/>
      <c r="J8" s="287" t="str">
        <f t="shared" ref="J8" si="46">IF(ISBLANK(A8),"",B8)</f>
        <v/>
      </c>
      <c r="K8" s="257"/>
      <c r="L8" s="418"/>
      <c r="M8" s="419"/>
      <c r="N8" s="419"/>
      <c r="O8" s="418"/>
      <c r="P8" s="418"/>
      <c r="Q8" s="419"/>
      <c r="R8" s="419"/>
      <c r="S8" s="418"/>
      <c r="T8" s="418"/>
      <c r="U8" s="419"/>
      <c r="V8" s="419"/>
      <c r="W8" s="418"/>
      <c r="X8" s="418"/>
      <c r="Y8" s="419"/>
      <c r="Z8" s="419"/>
      <c r="AA8" s="418"/>
      <c r="AB8" s="418"/>
      <c r="AC8" s="419"/>
      <c r="AD8" s="419"/>
      <c r="AE8" s="418"/>
      <c r="AF8" s="418"/>
      <c r="AG8" s="419"/>
      <c r="AH8" s="258"/>
      <c r="AI8" s="611">
        <f>SUM(K8,M8,O8,Q8,S8,U8,W8,Y8,AA8,AC8,AE8,AG8)</f>
        <v>0</v>
      </c>
      <c r="AJ8" s="613">
        <f>SUM(L8,N8,P8,R8,T8,V8,X8,Z8,AB8,AD8,AF8,AH8)</f>
        <v>0</v>
      </c>
      <c r="AK8" s="615">
        <f t="shared" ref="AK8" si="47">IFERROR(AI8/G8,0)</f>
        <v>0</v>
      </c>
      <c r="AL8" s="617">
        <f>IFERROR(AJ8/H8,0)</f>
        <v>0</v>
      </c>
      <c r="AM8" s="363"/>
    </row>
    <row r="9" spans="1:39" ht="15.75" thickBot="1" x14ac:dyDescent="0.3">
      <c r="A9" s="579"/>
      <c r="B9" s="581"/>
      <c r="C9" s="583"/>
      <c r="D9" s="585"/>
      <c r="E9" s="575"/>
      <c r="F9" s="573"/>
      <c r="G9" s="575"/>
      <c r="H9" s="577"/>
      <c r="I9" s="364"/>
      <c r="J9" s="391" t="s">
        <v>206</v>
      </c>
      <c r="K9" s="502" t="str">
        <f t="shared" ref="K9" si="48">IF(ROUND($G8/12,2)=0,"",ROUND($G8/12,2))</f>
        <v/>
      </c>
      <c r="L9" s="503" t="str">
        <f t="shared" ref="L9" si="49">IF(ROUND($H8/12,2)=0,"",ROUND($H8/12,2))</f>
        <v/>
      </c>
      <c r="M9" s="500" t="str">
        <f t="shared" ref="M9" si="50">IFERROR(IF(ROUND($G8/12,2)=0,"",ROUND($G8/12,2))+K9,"")</f>
        <v/>
      </c>
      <c r="N9" s="504" t="str">
        <f t="shared" ref="N9" si="51">IFERROR(IF(ROUND($H8/12,2)=0,"",ROUND($H8/12,2))+L9,"")</f>
        <v/>
      </c>
      <c r="O9" s="501" t="str">
        <f t="shared" ref="O9" si="52">IFERROR(IF(ROUND($G8/12,2)=0,"",ROUND($G8/12,2))+M9,"")</f>
        <v/>
      </c>
      <c r="P9" s="505" t="str">
        <f t="shared" ref="P9" si="53">IFERROR(IF(ROUND($H8/12,2)=0,"",ROUND($H8/12,2))+N9,"")</f>
        <v/>
      </c>
      <c r="Q9" s="500" t="str">
        <f t="shared" ref="Q9" si="54">IFERROR(IF(ROUND($G8/12,2)=0,"",ROUND($G8/12,2))+O9,"")</f>
        <v/>
      </c>
      <c r="R9" s="504" t="str">
        <f t="shared" ref="R9" si="55">IFERROR(IF(ROUND($H8/12,2)=0,"",ROUND($H8/12,2))+P9,"")</f>
        <v/>
      </c>
      <c r="S9" s="501" t="str">
        <f t="shared" ref="S9" si="56">IFERROR(IF(ROUND($G8/12,2)=0,"",ROUND($G8/12,2))+Q9,"")</f>
        <v/>
      </c>
      <c r="T9" s="505" t="str">
        <f t="shared" ref="T9" si="57">IFERROR(IF(ROUND($H8/12,2)=0,"",ROUND($H8/12,2))+R9,"")</f>
        <v/>
      </c>
      <c r="U9" s="500" t="str">
        <f t="shared" ref="U9" si="58">IFERROR(IF(ROUND($G8/12,2)=0,"",ROUND($G8/12,2))+S9,"")</f>
        <v/>
      </c>
      <c r="V9" s="504" t="str">
        <f t="shared" ref="V9" si="59">IFERROR(IF(ROUND($H8/12,2)=0,"",ROUND($H8/12,2))+T9,"")</f>
        <v/>
      </c>
      <c r="W9" s="501" t="str">
        <f t="shared" ref="W9" si="60">IFERROR(IF(ROUND($G8/12,2)=0,"",ROUND($G8/12,2))+U9,"")</f>
        <v/>
      </c>
      <c r="X9" s="505" t="str">
        <f t="shared" ref="X9" si="61">IFERROR(IF(ROUND($H8/12,2)=0,"",ROUND($H8/12,2))+V9,"")</f>
        <v/>
      </c>
      <c r="Y9" s="500" t="str">
        <f t="shared" ref="Y9" si="62">IFERROR(IF(ROUND($G8/12,2)=0,"",ROUND($G8/12,2))+W9,"")</f>
        <v/>
      </c>
      <c r="Z9" s="504" t="str">
        <f t="shared" ref="Z9" si="63">IFERROR(IF(ROUND($H8/12,2)=0,"",ROUND($H8/12,2))+X9,"")</f>
        <v/>
      </c>
      <c r="AA9" s="501" t="str">
        <f t="shared" ref="AA9" si="64">IFERROR(IF(ROUND($G8/12,2)=0,"",ROUND($G8/12,2))+Y9,"")</f>
        <v/>
      </c>
      <c r="AB9" s="505" t="str">
        <f t="shared" ref="AB9" si="65">IFERROR(IF(ROUND($H8/12,2)=0,"",ROUND($H8/12,2))+Z9,"")</f>
        <v/>
      </c>
      <c r="AC9" s="500" t="str">
        <f t="shared" ref="AC9" si="66">IFERROR(IF(ROUND($G8/12,2)=0,"",ROUND($G8/12,2))+AA9,"")</f>
        <v/>
      </c>
      <c r="AD9" s="504" t="str">
        <f t="shared" ref="AD9" si="67">IFERROR(IF(ROUND($H8/12,2)=0,"",ROUND($H8/12,2))+AB9,"")</f>
        <v/>
      </c>
      <c r="AE9" s="501" t="str">
        <f t="shared" ref="AE9" si="68">IFERROR(IF(ROUND($G8/12,2)=0,"",ROUND($G8/12,2))+AC9,"")</f>
        <v/>
      </c>
      <c r="AF9" s="505" t="str">
        <f t="shared" ref="AF9" si="69">IFERROR(IF(ROUND($H8/12,2)=0,"",ROUND($H8/12,2))+AD9,"")</f>
        <v/>
      </c>
      <c r="AG9" s="500" t="str">
        <f t="shared" ref="AG9" si="70">IFERROR(IF(ROUND($G8/12,2)=0,"",ROUND($G8/12,2))+AE9,"")</f>
        <v/>
      </c>
      <c r="AH9" s="506" t="str">
        <f t="shared" ref="AH9" si="71">IFERROR(IF(ROUND($H8/12,2)=0,"",ROUND($H8/12,2))+AF9,"")</f>
        <v/>
      </c>
      <c r="AI9" s="612"/>
      <c r="AJ9" s="614"/>
      <c r="AK9" s="616"/>
      <c r="AL9" s="618"/>
      <c r="AM9" s="363"/>
    </row>
    <row r="10" spans="1:39" x14ac:dyDescent="0.25">
      <c r="A10" s="578"/>
      <c r="B10" s="580"/>
      <c r="C10" s="582"/>
      <c r="D10" s="584"/>
      <c r="E10" s="574"/>
      <c r="F10" s="572"/>
      <c r="G10" s="574"/>
      <c r="H10" s="576"/>
      <c r="I10" s="364"/>
      <c r="J10" s="287" t="str">
        <f t="shared" ref="J10" si="72">IF(ISBLANK(A10),"",B10)</f>
        <v/>
      </c>
      <c r="K10" s="257"/>
      <c r="L10" s="418"/>
      <c r="M10" s="419"/>
      <c r="N10" s="419"/>
      <c r="O10" s="418"/>
      <c r="P10" s="418"/>
      <c r="Q10" s="419"/>
      <c r="R10" s="419"/>
      <c r="S10" s="418"/>
      <c r="T10" s="418"/>
      <c r="U10" s="419"/>
      <c r="V10" s="419"/>
      <c r="W10" s="418"/>
      <c r="X10" s="418"/>
      <c r="Y10" s="419"/>
      <c r="Z10" s="419"/>
      <c r="AA10" s="418"/>
      <c r="AB10" s="418"/>
      <c r="AC10" s="419"/>
      <c r="AD10" s="419"/>
      <c r="AE10" s="418"/>
      <c r="AF10" s="418"/>
      <c r="AG10" s="419"/>
      <c r="AH10" s="258"/>
      <c r="AI10" s="611">
        <f t="shared" ref="AI10" si="73">SUM(K10,M10,O10,Q10,S10,U10,W10,Y10,AA10,AC10,AE10,AG10)</f>
        <v>0</v>
      </c>
      <c r="AJ10" s="613">
        <f t="shared" ref="AJ10" si="74">SUM(L10,N10,P10,R10,T10,V10,X10,Z10,AB10,AD10,AF10,AH10)</f>
        <v>0</v>
      </c>
      <c r="AK10" s="615">
        <f>IFERROR(AI10/G10,0)</f>
        <v>0</v>
      </c>
      <c r="AL10" s="617">
        <f t="shared" ref="AL10" si="75">IFERROR(AJ10/H10,0)</f>
        <v>0</v>
      </c>
      <c r="AM10" s="363"/>
    </row>
    <row r="11" spans="1:39" ht="15.75" thickBot="1" x14ac:dyDescent="0.3">
      <c r="A11" s="579"/>
      <c r="B11" s="581"/>
      <c r="C11" s="583"/>
      <c r="D11" s="585"/>
      <c r="E11" s="575"/>
      <c r="F11" s="573"/>
      <c r="G11" s="575"/>
      <c r="H11" s="577"/>
      <c r="I11" s="364"/>
      <c r="J11" s="391" t="s">
        <v>206</v>
      </c>
      <c r="K11" s="502" t="str">
        <f t="shared" ref="K11" si="76">IF(ROUND($G10/12,2)=0,"",ROUND($G10/12,2))</f>
        <v/>
      </c>
      <c r="L11" s="503" t="str">
        <f t="shared" ref="L11" si="77">IF(ROUND($H10/12,2)=0,"",ROUND($H10/12,2))</f>
        <v/>
      </c>
      <c r="M11" s="500" t="str">
        <f t="shared" ref="M11" si="78">IFERROR(IF(ROUND($G10/12,2)=0,"",ROUND($G10/12,2))+K11,"")</f>
        <v/>
      </c>
      <c r="N11" s="504" t="str">
        <f t="shared" ref="N11" si="79">IFERROR(IF(ROUND($H10/12,2)=0,"",ROUND($H10/12,2))+L11,"")</f>
        <v/>
      </c>
      <c r="O11" s="501" t="str">
        <f t="shared" ref="O11" si="80">IFERROR(IF(ROUND($G10/12,2)=0,"",ROUND($G10/12,2))+M11,"")</f>
        <v/>
      </c>
      <c r="P11" s="505" t="str">
        <f t="shared" ref="P11" si="81">IFERROR(IF(ROUND($H10/12,2)=0,"",ROUND($H10/12,2))+N11,"")</f>
        <v/>
      </c>
      <c r="Q11" s="500" t="str">
        <f t="shared" ref="Q11" si="82">IFERROR(IF(ROUND($G10/12,2)=0,"",ROUND($G10/12,2))+O11,"")</f>
        <v/>
      </c>
      <c r="R11" s="504" t="str">
        <f t="shared" ref="R11" si="83">IFERROR(IF(ROUND($H10/12,2)=0,"",ROUND($H10/12,2))+P11,"")</f>
        <v/>
      </c>
      <c r="S11" s="501" t="str">
        <f t="shared" ref="S11" si="84">IFERROR(IF(ROUND($G10/12,2)=0,"",ROUND($G10/12,2))+Q11,"")</f>
        <v/>
      </c>
      <c r="T11" s="505" t="str">
        <f t="shared" ref="T11" si="85">IFERROR(IF(ROUND($H10/12,2)=0,"",ROUND($H10/12,2))+R11,"")</f>
        <v/>
      </c>
      <c r="U11" s="500" t="str">
        <f t="shared" ref="U11" si="86">IFERROR(IF(ROUND($G10/12,2)=0,"",ROUND($G10/12,2))+S11,"")</f>
        <v/>
      </c>
      <c r="V11" s="504" t="str">
        <f t="shared" ref="V11" si="87">IFERROR(IF(ROUND($H10/12,2)=0,"",ROUND($H10/12,2))+T11,"")</f>
        <v/>
      </c>
      <c r="W11" s="501" t="str">
        <f t="shared" ref="W11" si="88">IFERROR(IF(ROUND($G10/12,2)=0,"",ROUND($G10/12,2))+U11,"")</f>
        <v/>
      </c>
      <c r="X11" s="505" t="str">
        <f t="shared" ref="X11" si="89">IFERROR(IF(ROUND($H10/12,2)=0,"",ROUND($H10/12,2))+V11,"")</f>
        <v/>
      </c>
      <c r="Y11" s="500" t="str">
        <f t="shared" ref="Y11" si="90">IFERROR(IF(ROUND($G10/12,2)=0,"",ROUND($G10/12,2))+W11,"")</f>
        <v/>
      </c>
      <c r="Z11" s="504" t="str">
        <f t="shared" ref="Z11" si="91">IFERROR(IF(ROUND($H10/12,2)=0,"",ROUND($H10/12,2))+X11,"")</f>
        <v/>
      </c>
      <c r="AA11" s="501" t="str">
        <f t="shared" ref="AA11" si="92">IFERROR(IF(ROUND($G10/12,2)=0,"",ROUND($G10/12,2))+Y11,"")</f>
        <v/>
      </c>
      <c r="AB11" s="505" t="str">
        <f t="shared" ref="AB11" si="93">IFERROR(IF(ROUND($H10/12,2)=0,"",ROUND($H10/12,2))+Z11,"")</f>
        <v/>
      </c>
      <c r="AC11" s="500" t="str">
        <f t="shared" ref="AC11" si="94">IFERROR(IF(ROUND($G10/12,2)=0,"",ROUND($G10/12,2))+AA11,"")</f>
        <v/>
      </c>
      <c r="AD11" s="504" t="str">
        <f t="shared" ref="AD11" si="95">IFERROR(IF(ROUND($H10/12,2)=0,"",ROUND($H10/12,2))+AB11,"")</f>
        <v/>
      </c>
      <c r="AE11" s="501" t="str">
        <f t="shared" ref="AE11" si="96">IFERROR(IF(ROUND($G10/12,2)=0,"",ROUND($G10/12,2))+AC11,"")</f>
        <v/>
      </c>
      <c r="AF11" s="505" t="str">
        <f t="shared" ref="AF11" si="97">IFERROR(IF(ROUND($H10/12,2)=0,"",ROUND($H10/12,2))+AD11,"")</f>
        <v/>
      </c>
      <c r="AG11" s="500" t="str">
        <f t="shared" ref="AG11" si="98">IFERROR(IF(ROUND($G10/12,2)=0,"",ROUND($G10/12,2))+AE11,"")</f>
        <v/>
      </c>
      <c r="AH11" s="506" t="str">
        <f t="shared" ref="AH11" si="99">IFERROR(IF(ROUND($H10/12,2)=0,"",ROUND($H10/12,2))+AF11,"")</f>
        <v/>
      </c>
      <c r="AI11" s="612"/>
      <c r="AJ11" s="614"/>
      <c r="AK11" s="616"/>
      <c r="AL11" s="618"/>
      <c r="AM11" s="363"/>
    </row>
    <row r="12" spans="1:39" x14ac:dyDescent="0.25">
      <c r="A12" s="578"/>
      <c r="B12" s="580"/>
      <c r="C12" s="582"/>
      <c r="D12" s="584"/>
      <c r="E12" s="574"/>
      <c r="F12" s="572"/>
      <c r="G12" s="574"/>
      <c r="H12" s="576"/>
      <c r="I12" s="364"/>
      <c r="J12" s="287" t="str">
        <f t="shared" ref="J12" si="100">IF(ISBLANK(A12),"",B12)</f>
        <v/>
      </c>
      <c r="K12" s="257"/>
      <c r="L12" s="418"/>
      <c r="M12" s="419"/>
      <c r="N12" s="419"/>
      <c r="O12" s="418"/>
      <c r="P12" s="418"/>
      <c r="Q12" s="419"/>
      <c r="R12" s="419"/>
      <c r="S12" s="418"/>
      <c r="T12" s="418"/>
      <c r="U12" s="419"/>
      <c r="V12" s="419"/>
      <c r="W12" s="418"/>
      <c r="X12" s="418"/>
      <c r="Y12" s="419"/>
      <c r="Z12" s="419"/>
      <c r="AA12" s="418"/>
      <c r="AB12" s="418"/>
      <c r="AC12" s="419"/>
      <c r="AD12" s="419"/>
      <c r="AE12" s="418"/>
      <c r="AF12" s="418"/>
      <c r="AG12" s="419"/>
      <c r="AH12" s="258"/>
      <c r="AI12" s="611">
        <f t="shared" ref="AI12" si="101">SUM(K12,M12,O12,Q12,S12,U12,W12,Y12,AA12,AC12,AE12,AG12)</f>
        <v>0</v>
      </c>
      <c r="AJ12" s="613">
        <f t="shared" ref="AJ12" si="102">SUM(L12,N12,P12,R12,T12,V12,X12,Z12,AB12,AD12,AF12,AH12)</f>
        <v>0</v>
      </c>
      <c r="AK12" s="615">
        <f>IFERROR(AI12/G12,0)</f>
        <v>0</v>
      </c>
      <c r="AL12" s="617">
        <f t="shared" ref="AL12" si="103">IFERROR(AJ12/H12,0)</f>
        <v>0</v>
      </c>
      <c r="AM12" s="363"/>
    </row>
    <row r="13" spans="1:39" ht="15.75" thickBot="1" x14ac:dyDescent="0.3">
      <c r="A13" s="579"/>
      <c r="B13" s="581"/>
      <c r="C13" s="583"/>
      <c r="D13" s="585"/>
      <c r="E13" s="575"/>
      <c r="F13" s="573"/>
      <c r="G13" s="575"/>
      <c r="H13" s="577"/>
      <c r="I13" s="364"/>
      <c r="J13" s="391" t="s">
        <v>206</v>
      </c>
      <c r="K13" s="502" t="str">
        <f t="shared" ref="K13" si="104">IF(ROUND($G12/12,2)=0,"",ROUND($G12/12,2))</f>
        <v/>
      </c>
      <c r="L13" s="503" t="str">
        <f t="shared" ref="L13" si="105">IF(ROUND($H12/12,2)=0,"",ROUND($H12/12,2))</f>
        <v/>
      </c>
      <c r="M13" s="500" t="str">
        <f t="shared" ref="M13" si="106">IFERROR(IF(ROUND($G12/12,2)=0,"",ROUND($G12/12,2))+K13,"")</f>
        <v/>
      </c>
      <c r="N13" s="504" t="str">
        <f t="shared" ref="N13" si="107">IFERROR(IF(ROUND($H12/12,2)=0,"",ROUND($H12/12,2))+L13,"")</f>
        <v/>
      </c>
      <c r="O13" s="501" t="str">
        <f t="shared" ref="O13" si="108">IFERROR(IF(ROUND($G12/12,2)=0,"",ROUND($G12/12,2))+M13,"")</f>
        <v/>
      </c>
      <c r="P13" s="505" t="str">
        <f t="shared" ref="P13" si="109">IFERROR(IF(ROUND($H12/12,2)=0,"",ROUND($H12/12,2))+N13,"")</f>
        <v/>
      </c>
      <c r="Q13" s="500" t="str">
        <f t="shared" ref="Q13" si="110">IFERROR(IF(ROUND($G12/12,2)=0,"",ROUND($G12/12,2))+O13,"")</f>
        <v/>
      </c>
      <c r="R13" s="504" t="str">
        <f t="shared" ref="R13" si="111">IFERROR(IF(ROUND($H12/12,2)=0,"",ROUND($H12/12,2))+P13,"")</f>
        <v/>
      </c>
      <c r="S13" s="501" t="str">
        <f t="shared" ref="S13" si="112">IFERROR(IF(ROUND($G12/12,2)=0,"",ROUND($G12/12,2))+Q13,"")</f>
        <v/>
      </c>
      <c r="T13" s="505" t="str">
        <f t="shared" ref="T13" si="113">IFERROR(IF(ROUND($H12/12,2)=0,"",ROUND($H12/12,2))+R13,"")</f>
        <v/>
      </c>
      <c r="U13" s="500" t="str">
        <f t="shared" ref="U13" si="114">IFERROR(IF(ROUND($G12/12,2)=0,"",ROUND($G12/12,2))+S13,"")</f>
        <v/>
      </c>
      <c r="V13" s="504" t="str">
        <f t="shared" ref="V13" si="115">IFERROR(IF(ROUND($H12/12,2)=0,"",ROUND($H12/12,2))+T13,"")</f>
        <v/>
      </c>
      <c r="W13" s="501" t="str">
        <f t="shared" ref="W13" si="116">IFERROR(IF(ROUND($G12/12,2)=0,"",ROUND($G12/12,2))+U13,"")</f>
        <v/>
      </c>
      <c r="X13" s="505" t="str">
        <f t="shared" ref="X13" si="117">IFERROR(IF(ROUND($H12/12,2)=0,"",ROUND($H12/12,2))+V13,"")</f>
        <v/>
      </c>
      <c r="Y13" s="500" t="str">
        <f t="shared" ref="Y13" si="118">IFERROR(IF(ROUND($G12/12,2)=0,"",ROUND($G12/12,2))+W13,"")</f>
        <v/>
      </c>
      <c r="Z13" s="504" t="str">
        <f t="shared" ref="Z13" si="119">IFERROR(IF(ROUND($H12/12,2)=0,"",ROUND($H12/12,2))+X13,"")</f>
        <v/>
      </c>
      <c r="AA13" s="501" t="str">
        <f t="shared" ref="AA13" si="120">IFERROR(IF(ROUND($G12/12,2)=0,"",ROUND($G12/12,2))+Y13,"")</f>
        <v/>
      </c>
      <c r="AB13" s="505" t="str">
        <f t="shared" ref="AB13" si="121">IFERROR(IF(ROUND($H12/12,2)=0,"",ROUND($H12/12,2))+Z13,"")</f>
        <v/>
      </c>
      <c r="AC13" s="500" t="str">
        <f t="shared" ref="AC13" si="122">IFERROR(IF(ROUND($G12/12,2)=0,"",ROUND($G12/12,2))+AA13,"")</f>
        <v/>
      </c>
      <c r="AD13" s="504" t="str">
        <f t="shared" ref="AD13" si="123">IFERROR(IF(ROUND($H12/12,2)=0,"",ROUND($H12/12,2))+AB13,"")</f>
        <v/>
      </c>
      <c r="AE13" s="501" t="str">
        <f t="shared" ref="AE13" si="124">IFERROR(IF(ROUND($G12/12,2)=0,"",ROUND($G12/12,2))+AC13,"")</f>
        <v/>
      </c>
      <c r="AF13" s="505" t="str">
        <f t="shared" ref="AF13" si="125">IFERROR(IF(ROUND($H12/12,2)=0,"",ROUND($H12/12,2))+AD13,"")</f>
        <v/>
      </c>
      <c r="AG13" s="500" t="str">
        <f t="shared" ref="AG13" si="126">IFERROR(IF(ROUND($G12/12,2)=0,"",ROUND($G12/12,2))+AE13,"")</f>
        <v/>
      </c>
      <c r="AH13" s="506" t="str">
        <f t="shared" ref="AH13" si="127">IFERROR(IF(ROUND($H12/12,2)=0,"",ROUND($H12/12,2))+AF13,"")</f>
        <v/>
      </c>
      <c r="AI13" s="612"/>
      <c r="AJ13" s="614"/>
      <c r="AK13" s="616"/>
      <c r="AL13" s="618"/>
      <c r="AM13" s="363"/>
    </row>
    <row r="14" spans="1:39" x14ac:dyDescent="0.25">
      <c r="A14" s="578"/>
      <c r="B14" s="580"/>
      <c r="C14" s="582"/>
      <c r="D14" s="584"/>
      <c r="E14" s="574"/>
      <c r="F14" s="572"/>
      <c r="G14" s="574"/>
      <c r="H14" s="576"/>
      <c r="I14" s="364"/>
      <c r="J14" s="287" t="str">
        <f t="shared" ref="J14" si="128">IF(ISBLANK(A14),"",B14)</f>
        <v/>
      </c>
      <c r="K14" s="257"/>
      <c r="L14" s="418"/>
      <c r="M14" s="419"/>
      <c r="N14" s="419"/>
      <c r="O14" s="418"/>
      <c r="P14" s="418"/>
      <c r="Q14" s="419"/>
      <c r="R14" s="419"/>
      <c r="S14" s="418"/>
      <c r="T14" s="418"/>
      <c r="U14" s="419"/>
      <c r="V14" s="419"/>
      <c r="W14" s="418"/>
      <c r="X14" s="418"/>
      <c r="Y14" s="419"/>
      <c r="Z14" s="419"/>
      <c r="AA14" s="418"/>
      <c r="AB14" s="418"/>
      <c r="AC14" s="419"/>
      <c r="AD14" s="419"/>
      <c r="AE14" s="418"/>
      <c r="AF14" s="418"/>
      <c r="AG14" s="419"/>
      <c r="AH14" s="258"/>
      <c r="AI14" s="611">
        <f t="shared" ref="AI14" si="129">SUM(K14,M14,O14,Q14,S14,U14,W14,Y14,AA14,AC14,AE14,AG14)</f>
        <v>0</v>
      </c>
      <c r="AJ14" s="613">
        <f t="shared" ref="AJ14" si="130">SUM(L14,N14,P14,R14,T14,V14,X14,Z14,AB14,AD14,AF14,AH14)</f>
        <v>0</v>
      </c>
      <c r="AK14" s="615">
        <f t="shared" ref="AK14" si="131">IFERROR(AI14/G14,0)</f>
        <v>0</v>
      </c>
      <c r="AL14" s="617">
        <f t="shared" ref="AL14" si="132">IFERROR(AJ14/H14,0)</f>
        <v>0</v>
      </c>
      <c r="AM14" s="363"/>
    </row>
    <row r="15" spans="1:39" ht="15.75" thickBot="1" x14ac:dyDescent="0.3">
      <c r="A15" s="579"/>
      <c r="B15" s="581"/>
      <c r="C15" s="583"/>
      <c r="D15" s="585"/>
      <c r="E15" s="575"/>
      <c r="F15" s="573"/>
      <c r="G15" s="575"/>
      <c r="H15" s="577"/>
      <c r="I15" s="364"/>
      <c r="J15" s="391" t="s">
        <v>206</v>
      </c>
      <c r="K15" s="502" t="str">
        <f t="shared" ref="K15" si="133">IF(ROUND($G14/12,2)=0,"",ROUND($G14/12,2))</f>
        <v/>
      </c>
      <c r="L15" s="503" t="str">
        <f t="shared" ref="L15" si="134">IF(ROUND($H14/12,2)=0,"",ROUND($H14/12,2))</f>
        <v/>
      </c>
      <c r="M15" s="500" t="str">
        <f t="shared" ref="M15" si="135">IFERROR(IF(ROUND($G14/12,2)=0,"",ROUND($G14/12,2))+K15,"")</f>
        <v/>
      </c>
      <c r="N15" s="504" t="str">
        <f t="shared" ref="N15" si="136">IFERROR(IF(ROUND($H14/12,2)=0,"",ROUND($H14/12,2))+L15,"")</f>
        <v/>
      </c>
      <c r="O15" s="501" t="str">
        <f t="shared" ref="O15" si="137">IFERROR(IF(ROUND($G14/12,2)=0,"",ROUND($G14/12,2))+M15,"")</f>
        <v/>
      </c>
      <c r="P15" s="505" t="str">
        <f t="shared" ref="P15" si="138">IFERROR(IF(ROUND($H14/12,2)=0,"",ROUND($H14/12,2))+N15,"")</f>
        <v/>
      </c>
      <c r="Q15" s="500" t="str">
        <f t="shared" ref="Q15" si="139">IFERROR(IF(ROUND($G14/12,2)=0,"",ROUND($G14/12,2))+O15,"")</f>
        <v/>
      </c>
      <c r="R15" s="504" t="str">
        <f t="shared" ref="R15" si="140">IFERROR(IF(ROUND($H14/12,2)=0,"",ROUND($H14/12,2))+P15,"")</f>
        <v/>
      </c>
      <c r="S15" s="501" t="str">
        <f t="shared" ref="S15" si="141">IFERROR(IF(ROUND($G14/12,2)=0,"",ROUND($G14/12,2))+Q15,"")</f>
        <v/>
      </c>
      <c r="T15" s="505" t="str">
        <f t="shared" ref="T15" si="142">IFERROR(IF(ROUND($H14/12,2)=0,"",ROUND($H14/12,2))+R15,"")</f>
        <v/>
      </c>
      <c r="U15" s="500" t="str">
        <f t="shared" ref="U15" si="143">IFERROR(IF(ROUND($G14/12,2)=0,"",ROUND($G14/12,2))+S15,"")</f>
        <v/>
      </c>
      <c r="V15" s="504" t="str">
        <f t="shared" ref="V15" si="144">IFERROR(IF(ROUND($H14/12,2)=0,"",ROUND($H14/12,2))+T15,"")</f>
        <v/>
      </c>
      <c r="W15" s="501" t="str">
        <f t="shared" ref="W15" si="145">IFERROR(IF(ROUND($G14/12,2)=0,"",ROUND($G14/12,2))+U15,"")</f>
        <v/>
      </c>
      <c r="X15" s="505" t="str">
        <f t="shared" ref="X15" si="146">IFERROR(IF(ROUND($H14/12,2)=0,"",ROUND($H14/12,2))+V15,"")</f>
        <v/>
      </c>
      <c r="Y15" s="500" t="str">
        <f t="shared" ref="Y15" si="147">IFERROR(IF(ROUND($G14/12,2)=0,"",ROUND($G14/12,2))+W15,"")</f>
        <v/>
      </c>
      <c r="Z15" s="504" t="str">
        <f t="shared" ref="Z15" si="148">IFERROR(IF(ROUND($H14/12,2)=0,"",ROUND($H14/12,2))+X15,"")</f>
        <v/>
      </c>
      <c r="AA15" s="501" t="str">
        <f t="shared" ref="AA15" si="149">IFERROR(IF(ROUND($G14/12,2)=0,"",ROUND($G14/12,2))+Y15,"")</f>
        <v/>
      </c>
      <c r="AB15" s="505" t="str">
        <f t="shared" ref="AB15" si="150">IFERROR(IF(ROUND($H14/12,2)=0,"",ROUND($H14/12,2))+Z15,"")</f>
        <v/>
      </c>
      <c r="AC15" s="500" t="str">
        <f t="shared" ref="AC15" si="151">IFERROR(IF(ROUND($G14/12,2)=0,"",ROUND($G14/12,2))+AA15,"")</f>
        <v/>
      </c>
      <c r="AD15" s="504" t="str">
        <f t="shared" ref="AD15" si="152">IFERROR(IF(ROUND($H14/12,2)=0,"",ROUND($H14/12,2))+AB15,"")</f>
        <v/>
      </c>
      <c r="AE15" s="501" t="str">
        <f t="shared" ref="AE15" si="153">IFERROR(IF(ROUND($G14/12,2)=0,"",ROUND($G14/12,2))+AC15,"")</f>
        <v/>
      </c>
      <c r="AF15" s="505" t="str">
        <f t="shared" ref="AF15" si="154">IFERROR(IF(ROUND($H14/12,2)=0,"",ROUND($H14/12,2))+AD15,"")</f>
        <v/>
      </c>
      <c r="AG15" s="500" t="str">
        <f t="shared" ref="AG15" si="155">IFERROR(IF(ROUND($G14/12,2)=0,"",ROUND($G14/12,2))+AE15,"")</f>
        <v/>
      </c>
      <c r="AH15" s="506" t="str">
        <f t="shared" ref="AH15" si="156">IFERROR(IF(ROUND($H14/12,2)=0,"",ROUND($H14/12,2))+AF15,"")</f>
        <v/>
      </c>
      <c r="AI15" s="612"/>
      <c r="AJ15" s="614"/>
      <c r="AK15" s="616"/>
      <c r="AL15" s="618"/>
      <c r="AM15" s="363"/>
    </row>
    <row r="16" spans="1:39" x14ac:dyDescent="0.25">
      <c r="A16" s="578"/>
      <c r="B16" s="580"/>
      <c r="C16" s="582"/>
      <c r="D16" s="584"/>
      <c r="E16" s="574"/>
      <c r="F16" s="572"/>
      <c r="G16" s="574"/>
      <c r="H16" s="576"/>
      <c r="I16" s="364"/>
      <c r="J16" s="287" t="str">
        <f t="shared" ref="J16" si="157">IF(ISBLANK(A16),"",B16)</f>
        <v/>
      </c>
      <c r="K16" s="257"/>
      <c r="L16" s="418"/>
      <c r="M16" s="419"/>
      <c r="N16" s="419"/>
      <c r="O16" s="418"/>
      <c r="P16" s="418"/>
      <c r="Q16" s="419"/>
      <c r="R16" s="419"/>
      <c r="S16" s="418"/>
      <c r="T16" s="418"/>
      <c r="U16" s="419"/>
      <c r="V16" s="419"/>
      <c r="W16" s="418"/>
      <c r="X16" s="418"/>
      <c r="Y16" s="419"/>
      <c r="Z16" s="419"/>
      <c r="AA16" s="418"/>
      <c r="AB16" s="418"/>
      <c r="AC16" s="419"/>
      <c r="AD16" s="419"/>
      <c r="AE16" s="418"/>
      <c r="AF16" s="418"/>
      <c r="AG16" s="419"/>
      <c r="AH16" s="258"/>
      <c r="AI16" s="611">
        <f t="shared" ref="AI16" si="158">SUM(K16,M16,O16,Q16,S16,U16,W16,Y16,AA16,AC16,AE16,AG16)</f>
        <v>0</v>
      </c>
      <c r="AJ16" s="613">
        <f t="shared" ref="AJ16" si="159">SUM(L16,N16,P16,R16,T16,V16,X16,Z16,AB16,AD16,AF16,AH16)</f>
        <v>0</v>
      </c>
      <c r="AK16" s="615">
        <f t="shared" ref="AK16" si="160">IFERROR(AI16/G16,0)</f>
        <v>0</v>
      </c>
      <c r="AL16" s="617">
        <f t="shared" ref="AL16" si="161">IFERROR(AJ16/H16,0)</f>
        <v>0</v>
      </c>
      <c r="AM16" s="363"/>
    </row>
    <row r="17" spans="1:39" ht="15.75" thickBot="1" x14ac:dyDescent="0.3">
      <c r="A17" s="579"/>
      <c r="B17" s="581"/>
      <c r="C17" s="583"/>
      <c r="D17" s="585"/>
      <c r="E17" s="575"/>
      <c r="F17" s="573"/>
      <c r="G17" s="575"/>
      <c r="H17" s="577"/>
      <c r="I17" s="364"/>
      <c r="J17" s="391" t="s">
        <v>206</v>
      </c>
      <c r="K17" s="502" t="str">
        <f t="shared" ref="K17" si="162">IF(ROUND($G16/12,2)=0,"",ROUND($G16/12,2))</f>
        <v/>
      </c>
      <c r="L17" s="503" t="str">
        <f t="shared" ref="L17" si="163">IF(ROUND($H16/12,2)=0,"",ROUND($H16/12,2))</f>
        <v/>
      </c>
      <c r="M17" s="500" t="str">
        <f t="shared" ref="M17" si="164">IFERROR(IF(ROUND($G16/12,2)=0,"",ROUND($G16/12,2))+K17,"")</f>
        <v/>
      </c>
      <c r="N17" s="504" t="str">
        <f t="shared" ref="N17" si="165">IFERROR(IF(ROUND($H16/12,2)=0,"",ROUND($H16/12,2))+L17,"")</f>
        <v/>
      </c>
      <c r="O17" s="501" t="str">
        <f t="shared" ref="O17" si="166">IFERROR(IF(ROUND($G16/12,2)=0,"",ROUND($G16/12,2))+M17,"")</f>
        <v/>
      </c>
      <c r="P17" s="505" t="str">
        <f t="shared" ref="P17" si="167">IFERROR(IF(ROUND($H16/12,2)=0,"",ROUND($H16/12,2))+N17,"")</f>
        <v/>
      </c>
      <c r="Q17" s="500" t="str">
        <f t="shared" ref="Q17" si="168">IFERROR(IF(ROUND($G16/12,2)=0,"",ROUND($G16/12,2))+O17,"")</f>
        <v/>
      </c>
      <c r="R17" s="504" t="str">
        <f t="shared" ref="R17" si="169">IFERROR(IF(ROUND($H16/12,2)=0,"",ROUND($H16/12,2))+P17,"")</f>
        <v/>
      </c>
      <c r="S17" s="501" t="str">
        <f t="shared" ref="S17" si="170">IFERROR(IF(ROUND($G16/12,2)=0,"",ROUND($G16/12,2))+Q17,"")</f>
        <v/>
      </c>
      <c r="T17" s="505" t="str">
        <f t="shared" ref="T17" si="171">IFERROR(IF(ROUND($H16/12,2)=0,"",ROUND($H16/12,2))+R17,"")</f>
        <v/>
      </c>
      <c r="U17" s="500" t="str">
        <f t="shared" ref="U17" si="172">IFERROR(IF(ROUND($G16/12,2)=0,"",ROUND($G16/12,2))+S17,"")</f>
        <v/>
      </c>
      <c r="V17" s="504" t="str">
        <f t="shared" ref="V17" si="173">IFERROR(IF(ROUND($H16/12,2)=0,"",ROUND($H16/12,2))+T17,"")</f>
        <v/>
      </c>
      <c r="W17" s="501" t="str">
        <f t="shared" ref="W17" si="174">IFERROR(IF(ROUND($G16/12,2)=0,"",ROUND($G16/12,2))+U17,"")</f>
        <v/>
      </c>
      <c r="X17" s="505" t="str">
        <f t="shared" ref="X17" si="175">IFERROR(IF(ROUND($H16/12,2)=0,"",ROUND($H16/12,2))+V17,"")</f>
        <v/>
      </c>
      <c r="Y17" s="500" t="str">
        <f t="shared" ref="Y17" si="176">IFERROR(IF(ROUND($G16/12,2)=0,"",ROUND($G16/12,2))+W17,"")</f>
        <v/>
      </c>
      <c r="Z17" s="504" t="str">
        <f t="shared" ref="Z17" si="177">IFERROR(IF(ROUND($H16/12,2)=0,"",ROUND($H16/12,2))+X17,"")</f>
        <v/>
      </c>
      <c r="AA17" s="501" t="str">
        <f t="shared" ref="AA17" si="178">IFERROR(IF(ROUND($G16/12,2)=0,"",ROUND($G16/12,2))+Y17,"")</f>
        <v/>
      </c>
      <c r="AB17" s="505" t="str">
        <f t="shared" ref="AB17" si="179">IFERROR(IF(ROUND($H16/12,2)=0,"",ROUND($H16/12,2))+Z17,"")</f>
        <v/>
      </c>
      <c r="AC17" s="500" t="str">
        <f t="shared" ref="AC17" si="180">IFERROR(IF(ROUND($G16/12,2)=0,"",ROUND($G16/12,2))+AA17,"")</f>
        <v/>
      </c>
      <c r="AD17" s="504" t="str">
        <f t="shared" ref="AD17" si="181">IFERROR(IF(ROUND($H16/12,2)=0,"",ROUND($H16/12,2))+AB17,"")</f>
        <v/>
      </c>
      <c r="AE17" s="501" t="str">
        <f t="shared" ref="AE17" si="182">IFERROR(IF(ROUND($G16/12,2)=0,"",ROUND($G16/12,2))+AC17,"")</f>
        <v/>
      </c>
      <c r="AF17" s="505" t="str">
        <f t="shared" ref="AF17" si="183">IFERROR(IF(ROUND($H16/12,2)=0,"",ROUND($H16/12,2))+AD17,"")</f>
        <v/>
      </c>
      <c r="AG17" s="500" t="str">
        <f t="shared" ref="AG17" si="184">IFERROR(IF(ROUND($G16/12,2)=0,"",ROUND($G16/12,2))+AE17,"")</f>
        <v/>
      </c>
      <c r="AH17" s="506" t="str">
        <f t="shared" ref="AH17" si="185">IFERROR(IF(ROUND($H16/12,2)=0,"",ROUND($H16/12,2))+AF17,"")</f>
        <v/>
      </c>
      <c r="AI17" s="612"/>
      <c r="AJ17" s="614"/>
      <c r="AK17" s="616"/>
      <c r="AL17" s="618"/>
      <c r="AM17" s="363"/>
    </row>
    <row r="18" spans="1:39" x14ac:dyDescent="0.25">
      <c r="A18" s="578"/>
      <c r="B18" s="580"/>
      <c r="C18" s="582"/>
      <c r="D18" s="584"/>
      <c r="E18" s="574"/>
      <c r="F18" s="572"/>
      <c r="G18" s="574"/>
      <c r="H18" s="576"/>
      <c r="I18" s="364"/>
      <c r="J18" s="287" t="str">
        <f t="shared" ref="J18" si="186">IF(ISBLANK(A18),"",B18)</f>
        <v/>
      </c>
      <c r="K18" s="257"/>
      <c r="L18" s="418"/>
      <c r="M18" s="419"/>
      <c r="N18" s="419"/>
      <c r="O18" s="418"/>
      <c r="P18" s="418"/>
      <c r="Q18" s="419"/>
      <c r="R18" s="419"/>
      <c r="S18" s="418"/>
      <c r="T18" s="418"/>
      <c r="U18" s="419"/>
      <c r="V18" s="419"/>
      <c r="W18" s="418"/>
      <c r="X18" s="418"/>
      <c r="Y18" s="419"/>
      <c r="Z18" s="419"/>
      <c r="AA18" s="418"/>
      <c r="AB18" s="418"/>
      <c r="AC18" s="419"/>
      <c r="AD18" s="419"/>
      <c r="AE18" s="418"/>
      <c r="AF18" s="418"/>
      <c r="AG18" s="419"/>
      <c r="AH18" s="258"/>
      <c r="AI18" s="611">
        <f t="shared" ref="AI18" si="187">SUM(K18,M18,O18,Q18,S18,U18,W18,Y18,AA18,AC18,AE18,AG18)</f>
        <v>0</v>
      </c>
      <c r="AJ18" s="613">
        <f t="shared" ref="AJ18" si="188">SUM(L18,N18,P18,R18,T18,V18,X18,Z18,AB18,AD18,AF18,AH18)</f>
        <v>0</v>
      </c>
      <c r="AK18" s="615">
        <f t="shared" ref="AK18" si="189">IFERROR(AI18/G18,0)</f>
        <v>0</v>
      </c>
      <c r="AL18" s="617">
        <f t="shared" ref="AL18" si="190">IFERROR(AJ18/H18,0)</f>
        <v>0</v>
      </c>
      <c r="AM18" s="363"/>
    </row>
    <row r="19" spans="1:39" ht="15.75" thickBot="1" x14ac:dyDescent="0.3">
      <c r="A19" s="579"/>
      <c r="B19" s="581"/>
      <c r="C19" s="583"/>
      <c r="D19" s="585"/>
      <c r="E19" s="575"/>
      <c r="F19" s="573"/>
      <c r="G19" s="575"/>
      <c r="H19" s="577"/>
      <c r="I19" s="364"/>
      <c r="J19" s="391" t="s">
        <v>206</v>
      </c>
      <c r="K19" s="502" t="str">
        <f t="shared" ref="K19" si="191">IF(ROUND($G18/12,2)=0,"",ROUND($G18/12,2))</f>
        <v/>
      </c>
      <c r="L19" s="503" t="str">
        <f t="shared" ref="L19" si="192">IF(ROUND($H18/12,2)=0,"",ROUND($H18/12,2))</f>
        <v/>
      </c>
      <c r="M19" s="500" t="str">
        <f t="shared" ref="M19" si="193">IFERROR(IF(ROUND($G18/12,2)=0,"",ROUND($G18/12,2))+K19,"")</f>
        <v/>
      </c>
      <c r="N19" s="504" t="str">
        <f t="shared" ref="N19" si="194">IFERROR(IF(ROUND($H18/12,2)=0,"",ROUND($H18/12,2))+L19,"")</f>
        <v/>
      </c>
      <c r="O19" s="501" t="str">
        <f t="shared" ref="O19" si="195">IFERROR(IF(ROUND($G18/12,2)=0,"",ROUND($G18/12,2))+M19,"")</f>
        <v/>
      </c>
      <c r="P19" s="505" t="str">
        <f t="shared" ref="P19" si="196">IFERROR(IF(ROUND($H18/12,2)=0,"",ROUND($H18/12,2))+N19,"")</f>
        <v/>
      </c>
      <c r="Q19" s="500" t="str">
        <f t="shared" ref="Q19" si="197">IFERROR(IF(ROUND($G18/12,2)=0,"",ROUND($G18/12,2))+O19,"")</f>
        <v/>
      </c>
      <c r="R19" s="504" t="str">
        <f t="shared" ref="R19" si="198">IFERROR(IF(ROUND($H18/12,2)=0,"",ROUND($H18/12,2))+P19,"")</f>
        <v/>
      </c>
      <c r="S19" s="501" t="str">
        <f t="shared" ref="S19" si="199">IFERROR(IF(ROUND($G18/12,2)=0,"",ROUND($G18/12,2))+Q19,"")</f>
        <v/>
      </c>
      <c r="T19" s="505" t="str">
        <f t="shared" ref="T19" si="200">IFERROR(IF(ROUND($H18/12,2)=0,"",ROUND($H18/12,2))+R19,"")</f>
        <v/>
      </c>
      <c r="U19" s="500" t="str">
        <f t="shared" ref="U19" si="201">IFERROR(IF(ROUND($G18/12,2)=0,"",ROUND($G18/12,2))+S19,"")</f>
        <v/>
      </c>
      <c r="V19" s="504" t="str">
        <f t="shared" ref="V19" si="202">IFERROR(IF(ROUND($H18/12,2)=0,"",ROUND($H18/12,2))+T19,"")</f>
        <v/>
      </c>
      <c r="W19" s="501" t="str">
        <f t="shared" ref="W19" si="203">IFERROR(IF(ROUND($G18/12,2)=0,"",ROUND($G18/12,2))+U19,"")</f>
        <v/>
      </c>
      <c r="X19" s="505" t="str">
        <f t="shared" ref="X19" si="204">IFERROR(IF(ROUND($H18/12,2)=0,"",ROUND($H18/12,2))+V19,"")</f>
        <v/>
      </c>
      <c r="Y19" s="500" t="str">
        <f t="shared" ref="Y19" si="205">IFERROR(IF(ROUND($G18/12,2)=0,"",ROUND($G18/12,2))+W19,"")</f>
        <v/>
      </c>
      <c r="Z19" s="504" t="str">
        <f t="shared" ref="Z19" si="206">IFERROR(IF(ROUND($H18/12,2)=0,"",ROUND($H18/12,2))+X19,"")</f>
        <v/>
      </c>
      <c r="AA19" s="501" t="str">
        <f t="shared" ref="AA19" si="207">IFERROR(IF(ROUND($G18/12,2)=0,"",ROUND($G18/12,2))+Y19,"")</f>
        <v/>
      </c>
      <c r="AB19" s="505" t="str">
        <f t="shared" ref="AB19" si="208">IFERROR(IF(ROUND($H18/12,2)=0,"",ROUND($H18/12,2))+Z19,"")</f>
        <v/>
      </c>
      <c r="AC19" s="500" t="str">
        <f t="shared" ref="AC19" si="209">IFERROR(IF(ROUND($G18/12,2)=0,"",ROUND($G18/12,2))+AA19,"")</f>
        <v/>
      </c>
      <c r="AD19" s="504" t="str">
        <f t="shared" ref="AD19" si="210">IFERROR(IF(ROUND($H18/12,2)=0,"",ROUND($H18/12,2))+AB19,"")</f>
        <v/>
      </c>
      <c r="AE19" s="501" t="str">
        <f t="shared" ref="AE19" si="211">IFERROR(IF(ROUND($G18/12,2)=0,"",ROUND($G18/12,2))+AC19,"")</f>
        <v/>
      </c>
      <c r="AF19" s="505" t="str">
        <f t="shared" ref="AF19" si="212">IFERROR(IF(ROUND($H18/12,2)=0,"",ROUND($H18/12,2))+AD19,"")</f>
        <v/>
      </c>
      <c r="AG19" s="500" t="str">
        <f t="shared" ref="AG19" si="213">IFERROR(IF(ROUND($G18/12,2)=0,"",ROUND($G18/12,2))+AE19,"")</f>
        <v/>
      </c>
      <c r="AH19" s="506" t="str">
        <f t="shared" ref="AH19" si="214">IFERROR(IF(ROUND($H18/12,2)=0,"",ROUND($H18/12,2))+AF19,"")</f>
        <v/>
      </c>
      <c r="AI19" s="612"/>
      <c r="AJ19" s="614"/>
      <c r="AK19" s="616"/>
      <c r="AL19" s="618"/>
      <c r="AM19" s="363"/>
    </row>
    <row r="20" spans="1:39" x14ac:dyDescent="0.25">
      <c r="A20" s="578"/>
      <c r="B20" s="580"/>
      <c r="C20" s="582"/>
      <c r="D20" s="584"/>
      <c r="E20" s="574"/>
      <c r="F20" s="572"/>
      <c r="G20" s="574"/>
      <c r="H20" s="576"/>
      <c r="I20" s="364"/>
      <c r="J20" s="287" t="str">
        <f t="shared" ref="J20" si="215">IF(ISBLANK(A20),"",B20)</f>
        <v/>
      </c>
      <c r="K20" s="257"/>
      <c r="L20" s="418"/>
      <c r="M20" s="419"/>
      <c r="N20" s="419"/>
      <c r="O20" s="418"/>
      <c r="P20" s="418"/>
      <c r="Q20" s="419"/>
      <c r="R20" s="419"/>
      <c r="S20" s="418"/>
      <c r="T20" s="418"/>
      <c r="U20" s="419"/>
      <c r="V20" s="419"/>
      <c r="W20" s="418"/>
      <c r="X20" s="418"/>
      <c r="Y20" s="419"/>
      <c r="Z20" s="419"/>
      <c r="AA20" s="418"/>
      <c r="AB20" s="418"/>
      <c r="AC20" s="419"/>
      <c r="AD20" s="419"/>
      <c r="AE20" s="418"/>
      <c r="AF20" s="418"/>
      <c r="AG20" s="419"/>
      <c r="AH20" s="258"/>
      <c r="AI20" s="611">
        <f t="shared" ref="AI20" si="216">SUM(K20,M20,O20,Q20,S20,U20,W20,Y20,AA20,AC20,AE20,AG20)</f>
        <v>0</v>
      </c>
      <c r="AJ20" s="613">
        <f t="shared" ref="AJ20" si="217">SUM(L20,N20,P20,R20,T20,V20,X20,Z20,AB20,AD20,AF20,AH20)</f>
        <v>0</v>
      </c>
      <c r="AK20" s="615">
        <f t="shared" ref="AK20" si="218">IFERROR(AI20/G20,0)</f>
        <v>0</v>
      </c>
      <c r="AL20" s="617">
        <f t="shared" ref="AL20" si="219">IFERROR(AJ20/H20,0)</f>
        <v>0</v>
      </c>
      <c r="AM20" s="363"/>
    </row>
    <row r="21" spans="1:39" ht="15.75" thickBot="1" x14ac:dyDescent="0.3">
      <c r="A21" s="579"/>
      <c r="B21" s="581"/>
      <c r="C21" s="583"/>
      <c r="D21" s="585"/>
      <c r="E21" s="575"/>
      <c r="F21" s="573"/>
      <c r="G21" s="575"/>
      <c r="H21" s="577"/>
      <c r="I21" s="364"/>
      <c r="J21" s="391" t="s">
        <v>206</v>
      </c>
      <c r="K21" s="502" t="str">
        <f t="shared" ref="K21" si="220">IF(ROUND($G20/12,2)=0,"",ROUND($G20/12,2))</f>
        <v/>
      </c>
      <c r="L21" s="503" t="str">
        <f t="shared" ref="L21" si="221">IF(ROUND($H20/12,2)=0,"",ROUND($H20/12,2))</f>
        <v/>
      </c>
      <c r="M21" s="500" t="str">
        <f t="shared" ref="M21" si="222">IFERROR(IF(ROUND($G20/12,2)=0,"",ROUND($G20/12,2))+K21,"")</f>
        <v/>
      </c>
      <c r="N21" s="504" t="str">
        <f t="shared" ref="N21" si="223">IFERROR(IF(ROUND($H20/12,2)=0,"",ROUND($H20/12,2))+L21,"")</f>
        <v/>
      </c>
      <c r="O21" s="501" t="str">
        <f t="shared" ref="O21" si="224">IFERROR(IF(ROUND($G20/12,2)=0,"",ROUND($G20/12,2))+M21,"")</f>
        <v/>
      </c>
      <c r="P21" s="505" t="str">
        <f t="shared" ref="P21" si="225">IFERROR(IF(ROUND($H20/12,2)=0,"",ROUND($H20/12,2))+N21,"")</f>
        <v/>
      </c>
      <c r="Q21" s="500" t="str">
        <f t="shared" ref="Q21" si="226">IFERROR(IF(ROUND($G20/12,2)=0,"",ROUND($G20/12,2))+O21,"")</f>
        <v/>
      </c>
      <c r="R21" s="504" t="str">
        <f t="shared" ref="R21" si="227">IFERROR(IF(ROUND($H20/12,2)=0,"",ROUND($H20/12,2))+P21,"")</f>
        <v/>
      </c>
      <c r="S21" s="501" t="str">
        <f t="shared" ref="S21" si="228">IFERROR(IF(ROUND($G20/12,2)=0,"",ROUND($G20/12,2))+Q21,"")</f>
        <v/>
      </c>
      <c r="T21" s="505" t="str">
        <f t="shared" ref="T21" si="229">IFERROR(IF(ROUND($H20/12,2)=0,"",ROUND($H20/12,2))+R21,"")</f>
        <v/>
      </c>
      <c r="U21" s="500" t="str">
        <f t="shared" ref="U21" si="230">IFERROR(IF(ROUND($G20/12,2)=0,"",ROUND($G20/12,2))+S21,"")</f>
        <v/>
      </c>
      <c r="V21" s="504" t="str">
        <f t="shared" ref="V21" si="231">IFERROR(IF(ROUND($H20/12,2)=0,"",ROUND($H20/12,2))+T21,"")</f>
        <v/>
      </c>
      <c r="W21" s="501" t="str">
        <f t="shared" ref="W21" si="232">IFERROR(IF(ROUND($G20/12,2)=0,"",ROUND($G20/12,2))+U21,"")</f>
        <v/>
      </c>
      <c r="X21" s="505" t="str">
        <f t="shared" ref="X21" si="233">IFERROR(IF(ROUND($H20/12,2)=0,"",ROUND($H20/12,2))+V21,"")</f>
        <v/>
      </c>
      <c r="Y21" s="500" t="str">
        <f t="shared" ref="Y21" si="234">IFERROR(IF(ROUND($G20/12,2)=0,"",ROUND($G20/12,2))+W21,"")</f>
        <v/>
      </c>
      <c r="Z21" s="504" t="str">
        <f t="shared" ref="Z21" si="235">IFERROR(IF(ROUND($H20/12,2)=0,"",ROUND($H20/12,2))+X21,"")</f>
        <v/>
      </c>
      <c r="AA21" s="501" t="str">
        <f t="shared" ref="AA21" si="236">IFERROR(IF(ROUND($G20/12,2)=0,"",ROUND($G20/12,2))+Y21,"")</f>
        <v/>
      </c>
      <c r="AB21" s="505" t="str">
        <f t="shared" ref="AB21" si="237">IFERROR(IF(ROUND($H20/12,2)=0,"",ROUND($H20/12,2))+Z21,"")</f>
        <v/>
      </c>
      <c r="AC21" s="500" t="str">
        <f t="shared" ref="AC21" si="238">IFERROR(IF(ROUND($G20/12,2)=0,"",ROUND($G20/12,2))+AA21,"")</f>
        <v/>
      </c>
      <c r="AD21" s="504" t="str">
        <f t="shared" ref="AD21" si="239">IFERROR(IF(ROUND($H20/12,2)=0,"",ROUND($H20/12,2))+AB21,"")</f>
        <v/>
      </c>
      <c r="AE21" s="501" t="str">
        <f t="shared" ref="AE21" si="240">IFERROR(IF(ROUND($G20/12,2)=0,"",ROUND($G20/12,2))+AC21,"")</f>
        <v/>
      </c>
      <c r="AF21" s="505" t="str">
        <f t="shared" ref="AF21" si="241">IFERROR(IF(ROUND($H20/12,2)=0,"",ROUND($H20/12,2))+AD21,"")</f>
        <v/>
      </c>
      <c r="AG21" s="500" t="str">
        <f t="shared" ref="AG21" si="242">IFERROR(IF(ROUND($G20/12,2)=0,"",ROUND($G20/12,2))+AE21,"")</f>
        <v/>
      </c>
      <c r="AH21" s="506" t="str">
        <f t="shared" ref="AH21" si="243">IFERROR(IF(ROUND($H20/12,2)=0,"",ROUND($H20/12,2))+AF21,"")</f>
        <v/>
      </c>
      <c r="AI21" s="612"/>
      <c r="AJ21" s="614"/>
      <c r="AK21" s="616"/>
      <c r="AL21" s="618"/>
      <c r="AM21" s="363"/>
    </row>
    <row r="22" spans="1:39" x14ac:dyDescent="0.25">
      <c r="A22" s="578"/>
      <c r="B22" s="580"/>
      <c r="C22" s="582"/>
      <c r="D22" s="584"/>
      <c r="E22" s="574"/>
      <c r="F22" s="572"/>
      <c r="G22" s="574"/>
      <c r="H22" s="576"/>
      <c r="I22" s="364"/>
      <c r="J22" s="287" t="str">
        <f t="shared" ref="J22" si="244">IF(ISBLANK(A22),"",B22)</f>
        <v/>
      </c>
      <c r="K22" s="257"/>
      <c r="L22" s="418"/>
      <c r="M22" s="419"/>
      <c r="N22" s="419"/>
      <c r="O22" s="418"/>
      <c r="P22" s="418"/>
      <c r="Q22" s="419"/>
      <c r="R22" s="419"/>
      <c r="S22" s="418"/>
      <c r="T22" s="418"/>
      <c r="U22" s="419"/>
      <c r="V22" s="419"/>
      <c r="W22" s="418"/>
      <c r="X22" s="418"/>
      <c r="Y22" s="419"/>
      <c r="Z22" s="419"/>
      <c r="AA22" s="418"/>
      <c r="AB22" s="418"/>
      <c r="AC22" s="419"/>
      <c r="AD22" s="419"/>
      <c r="AE22" s="418"/>
      <c r="AF22" s="418"/>
      <c r="AG22" s="419"/>
      <c r="AH22" s="258"/>
      <c r="AI22" s="611">
        <f t="shared" ref="AI22" si="245">SUM(K22,M22,O22,Q22,S22,U22,W22,Y22,AA22,AC22,AE22,AG22)</f>
        <v>0</v>
      </c>
      <c r="AJ22" s="613">
        <f t="shared" ref="AJ22" si="246">SUM(L22,N22,P22,R22,T22,V22,X22,Z22,AB22,AD22,AF22,AH22)</f>
        <v>0</v>
      </c>
      <c r="AK22" s="615">
        <f t="shared" ref="AK22" si="247">IFERROR(AI22/G22,0)</f>
        <v>0</v>
      </c>
      <c r="AL22" s="617">
        <f t="shared" ref="AL22" si="248">IFERROR(AJ22/H22,0)</f>
        <v>0</v>
      </c>
      <c r="AM22" s="363"/>
    </row>
    <row r="23" spans="1:39" ht="15.75" thickBot="1" x14ac:dyDescent="0.3">
      <c r="A23" s="579"/>
      <c r="B23" s="581"/>
      <c r="C23" s="583"/>
      <c r="D23" s="585"/>
      <c r="E23" s="575"/>
      <c r="F23" s="573"/>
      <c r="G23" s="575"/>
      <c r="H23" s="577"/>
      <c r="I23" s="364"/>
      <c r="J23" s="391" t="s">
        <v>206</v>
      </c>
      <c r="K23" s="502" t="str">
        <f t="shared" ref="K23" si="249">IF(ROUND($G22/12,2)=0,"",ROUND($G22/12,2))</f>
        <v/>
      </c>
      <c r="L23" s="503" t="str">
        <f t="shared" ref="L23" si="250">IF(ROUND($H22/12,2)=0,"",ROUND($H22/12,2))</f>
        <v/>
      </c>
      <c r="M23" s="500" t="str">
        <f t="shared" ref="M23" si="251">IFERROR(IF(ROUND($G22/12,2)=0,"",ROUND($G22/12,2))+K23,"")</f>
        <v/>
      </c>
      <c r="N23" s="504" t="str">
        <f t="shared" ref="N23" si="252">IFERROR(IF(ROUND($H22/12,2)=0,"",ROUND($H22/12,2))+L23,"")</f>
        <v/>
      </c>
      <c r="O23" s="501" t="str">
        <f t="shared" ref="O23" si="253">IFERROR(IF(ROUND($G22/12,2)=0,"",ROUND($G22/12,2))+M23,"")</f>
        <v/>
      </c>
      <c r="P23" s="505" t="str">
        <f t="shared" ref="P23" si="254">IFERROR(IF(ROUND($H22/12,2)=0,"",ROUND($H22/12,2))+N23,"")</f>
        <v/>
      </c>
      <c r="Q23" s="500" t="str">
        <f t="shared" ref="Q23" si="255">IFERROR(IF(ROUND($G22/12,2)=0,"",ROUND($G22/12,2))+O23,"")</f>
        <v/>
      </c>
      <c r="R23" s="504" t="str">
        <f t="shared" ref="R23" si="256">IFERROR(IF(ROUND($H22/12,2)=0,"",ROUND($H22/12,2))+P23,"")</f>
        <v/>
      </c>
      <c r="S23" s="501" t="str">
        <f t="shared" ref="S23" si="257">IFERROR(IF(ROUND($G22/12,2)=0,"",ROUND($G22/12,2))+Q23,"")</f>
        <v/>
      </c>
      <c r="T23" s="505" t="str">
        <f t="shared" ref="T23" si="258">IFERROR(IF(ROUND($H22/12,2)=0,"",ROUND($H22/12,2))+R23,"")</f>
        <v/>
      </c>
      <c r="U23" s="500" t="str">
        <f t="shared" ref="U23" si="259">IFERROR(IF(ROUND($G22/12,2)=0,"",ROUND($G22/12,2))+S23,"")</f>
        <v/>
      </c>
      <c r="V23" s="504" t="str">
        <f t="shared" ref="V23" si="260">IFERROR(IF(ROUND($H22/12,2)=0,"",ROUND($H22/12,2))+T23,"")</f>
        <v/>
      </c>
      <c r="W23" s="501" t="str">
        <f t="shared" ref="W23" si="261">IFERROR(IF(ROUND($G22/12,2)=0,"",ROUND($G22/12,2))+U23,"")</f>
        <v/>
      </c>
      <c r="X23" s="505" t="str">
        <f t="shared" ref="X23" si="262">IFERROR(IF(ROUND($H22/12,2)=0,"",ROUND($H22/12,2))+V23,"")</f>
        <v/>
      </c>
      <c r="Y23" s="500" t="str">
        <f t="shared" ref="Y23" si="263">IFERROR(IF(ROUND($G22/12,2)=0,"",ROUND($G22/12,2))+W23,"")</f>
        <v/>
      </c>
      <c r="Z23" s="504" t="str">
        <f t="shared" ref="Z23" si="264">IFERROR(IF(ROUND($H22/12,2)=0,"",ROUND($H22/12,2))+X23,"")</f>
        <v/>
      </c>
      <c r="AA23" s="501" t="str">
        <f t="shared" ref="AA23" si="265">IFERROR(IF(ROUND($G22/12,2)=0,"",ROUND($G22/12,2))+Y23,"")</f>
        <v/>
      </c>
      <c r="AB23" s="505" t="str">
        <f t="shared" ref="AB23" si="266">IFERROR(IF(ROUND($H22/12,2)=0,"",ROUND($H22/12,2))+Z23,"")</f>
        <v/>
      </c>
      <c r="AC23" s="500" t="str">
        <f t="shared" ref="AC23" si="267">IFERROR(IF(ROUND($G22/12,2)=0,"",ROUND($G22/12,2))+AA23,"")</f>
        <v/>
      </c>
      <c r="AD23" s="504" t="str">
        <f t="shared" ref="AD23" si="268">IFERROR(IF(ROUND($H22/12,2)=0,"",ROUND($H22/12,2))+AB23,"")</f>
        <v/>
      </c>
      <c r="AE23" s="501" t="str">
        <f t="shared" ref="AE23" si="269">IFERROR(IF(ROUND($G22/12,2)=0,"",ROUND($G22/12,2))+AC23,"")</f>
        <v/>
      </c>
      <c r="AF23" s="505" t="str">
        <f t="shared" ref="AF23" si="270">IFERROR(IF(ROUND($H22/12,2)=0,"",ROUND($H22/12,2))+AD23,"")</f>
        <v/>
      </c>
      <c r="AG23" s="500" t="str">
        <f t="shared" ref="AG23" si="271">IFERROR(IF(ROUND($G22/12,2)=0,"",ROUND($G22/12,2))+AE23,"")</f>
        <v/>
      </c>
      <c r="AH23" s="506" t="str">
        <f t="shared" ref="AH23" si="272">IFERROR(IF(ROUND($H22/12,2)=0,"",ROUND($H22/12,2))+AF23,"")</f>
        <v/>
      </c>
      <c r="AI23" s="612"/>
      <c r="AJ23" s="614"/>
      <c r="AK23" s="616"/>
      <c r="AL23" s="618"/>
      <c r="AM23" s="363"/>
    </row>
    <row r="24" spans="1:39" x14ac:dyDescent="0.25">
      <c r="A24" s="578"/>
      <c r="B24" s="580"/>
      <c r="C24" s="582"/>
      <c r="D24" s="584"/>
      <c r="E24" s="574"/>
      <c r="F24" s="572"/>
      <c r="G24" s="574"/>
      <c r="H24" s="576"/>
      <c r="I24" s="364"/>
      <c r="J24" s="287" t="str">
        <f t="shared" ref="J24" si="273">IF(ISBLANK(A24),"",B24)</f>
        <v/>
      </c>
      <c r="K24" s="257"/>
      <c r="L24" s="418"/>
      <c r="M24" s="419"/>
      <c r="N24" s="419"/>
      <c r="O24" s="418"/>
      <c r="P24" s="418"/>
      <c r="Q24" s="419"/>
      <c r="R24" s="419"/>
      <c r="S24" s="418"/>
      <c r="T24" s="418"/>
      <c r="U24" s="419"/>
      <c r="V24" s="419"/>
      <c r="W24" s="418"/>
      <c r="X24" s="418"/>
      <c r="Y24" s="419"/>
      <c r="Z24" s="419"/>
      <c r="AA24" s="418"/>
      <c r="AB24" s="418"/>
      <c r="AC24" s="419"/>
      <c r="AD24" s="419"/>
      <c r="AE24" s="418"/>
      <c r="AF24" s="418"/>
      <c r="AG24" s="419"/>
      <c r="AH24" s="258"/>
      <c r="AI24" s="611">
        <f t="shared" ref="AI24" si="274">SUM(K24,M24,O24,Q24,S24,U24,W24,Y24,AA24,AC24,AE24,AG24)</f>
        <v>0</v>
      </c>
      <c r="AJ24" s="613">
        <f t="shared" ref="AJ24" si="275">SUM(L24,N24,P24,R24,T24,V24,X24,Z24,AB24,AD24,AF24,AH24)</f>
        <v>0</v>
      </c>
      <c r="AK24" s="615">
        <f t="shared" ref="AK24" si="276">IFERROR(AI24/G24,0)</f>
        <v>0</v>
      </c>
      <c r="AL24" s="617">
        <f t="shared" ref="AL24" si="277">IFERROR(AJ24/H24,0)</f>
        <v>0</v>
      </c>
      <c r="AM24" s="363"/>
    </row>
    <row r="25" spans="1:39" ht="15.75" thickBot="1" x14ac:dyDescent="0.3">
      <c r="A25" s="579"/>
      <c r="B25" s="581"/>
      <c r="C25" s="583"/>
      <c r="D25" s="585"/>
      <c r="E25" s="575"/>
      <c r="F25" s="573"/>
      <c r="G25" s="575"/>
      <c r="H25" s="577"/>
      <c r="I25" s="364"/>
      <c r="J25" s="391" t="s">
        <v>206</v>
      </c>
      <c r="K25" s="502" t="str">
        <f t="shared" ref="K25" si="278">IF(ROUND($G24/12,2)=0,"",ROUND($G24/12,2))</f>
        <v/>
      </c>
      <c r="L25" s="503" t="str">
        <f t="shared" ref="L25" si="279">IF(ROUND($H24/12,2)=0,"",ROUND($H24/12,2))</f>
        <v/>
      </c>
      <c r="M25" s="500" t="str">
        <f t="shared" ref="M25" si="280">IFERROR(IF(ROUND($G24/12,2)=0,"",ROUND($G24/12,2))+K25,"")</f>
        <v/>
      </c>
      <c r="N25" s="504" t="str">
        <f t="shared" ref="N25" si="281">IFERROR(IF(ROUND($H24/12,2)=0,"",ROUND($H24/12,2))+L25,"")</f>
        <v/>
      </c>
      <c r="O25" s="501" t="str">
        <f t="shared" ref="O25" si="282">IFERROR(IF(ROUND($G24/12,2)=0,"",ROUND($G24/12,2))+M25,"")</f>
        <v/>
      </c>
      <c r="P25" s="505" t="str">
        <f t="shared" ref="P25" si="283">IFERROR(IF(ROUND($H24/12,2)=0,"",ROUND($H24/12,2))+N25,"")</f>
        <v/>
      </c>
      <c r="Q25" s="500" t="str">
        <f t="shared" ref="Q25" si="284">IFERROR(IF(ROUND($G24/12,2)=0,"",ROUND($G24/12,2))+O25,"")</f>
        <v/>
      </c>
      <c r="R25" s="504" t="str">
        <f t="shared" ref="R25" si="285">IFERROR(IF(ROUND($H24/12,2)=0,"",ROUND($H24/12,2))+P25,"")</f>
        <v/>
      </c>
      <c r="S25" s="501" t="str">
        <f t="shared" ref="S25" si="286">IFERROR(IF(ROUND($G24/12,2)=0,"",ROUND($G24/12,2))+Q25,"")</f>
        <v/>
      </c>
      <c r="T25" s="505" t="str">
        <f t="shared" ref="T25" si="287">IFERROR(IF(ROUND($H24/12,2)=0,"",ROUND($H24/12,2))+R25,"")</f>
        <v/>
      </c>
      <c r="U25" s="500" t="str">
        <f t="shared" ref="U25" si="288">IFERROR(IF(ROUND($G24/12,2)=0,"",ROUND($G24/12,2))+S25,"")</f>
        <v/>
      </c>
      <c r="V25" s="504" t="str">
        <f t="shared" ref="V25" si="289">IFERROR(IF(ROUND($H24/12,2)=0,"",ROUND($H24/12,2))+T25,"")</f>
        <v/>
      </c>
      <c r="W25" s="501" t="str">
        <f t="shared" ref="W25" si="290">IFERROR(IF(ROUND($G24/12,2)=0,"",ROUND($G24/12,2))+U25,"")</f>
        <v/>
      </c>
      <c r="X25" s="505" t="str">
        <f t="shared" ref="X25" si="291">IFERROR(IF(ROUND($H24/12,2)=0,"",ROUND($H24/12,2))+V25,"")</f>
        <v/>
      </c>
      <c r="Y25" s="500" t="str">
        <f t="shared" ref="Y25" si="292">IFERROR(IF(ROUND($G24/12,2)=0,"",ROUND($G24/12,2))+W25,"")</f>
        <v/>
      </c>
      <c r="Z25" s="504" t="str">
        <f t="shared" ref="Z25" si="293">IFERROR(IF(ROUND($H24/12,2)=0,"",ROUND($H24/12,2))+X25,"")</f>
        <v/>
      </c>
      <c r="AA25" s="501" t="str">
        <f t="shared" ref="AA25" si="294">IFERROR(IF(ROUND($G24/12,2)=0,"",ROUND($G24/12,2))+Y25,"")</f>
        <v/>
      </c>
      <c r="AB25" s="505" t="str">
        <f t="shared" ref="AB25" si="295">IFERROR(IF(ROUND($H24/12,2)=0,"",ROUND($H24/12,2))+Z25,"")</f>
        <v/>
      </c>
      <c r="AC25" s="500" t="str">
        <f t="shared" ref="AC25" si="296">IFERROR(IF(ROUND($G24/12,2)=0,"",ROUND($G24/12,2))+AA25,"")</f>
        <v/>
      </c>
      <c r="AD25" s="504" t="str">
        <f t="shared" ref="AD25" si="297">IFERROR(IF(ROUND($H24/12,2)=0,"",ROUND($H24/12,2))+AB25,"")</f>
        <v/>
      </c>
      <c r="AE25" s="501" t="str">
        <f t="shared" ref="AE25" si="298">IFERROR(IF(ROUND($G24/12,2)=0,"",ROUND($G24/12,2))+AC25,"")</f>
        <v/>
      </c>
      <c r="AF25" s="505" t="str">
        <f t="shared" ref="AF25" si="299">IFERROR(IF(ROUND($H24/12,2)=0,"",ROUND($H24/12,2))+AD25,"")</f>
        <v/>
      </c>
      <c r="AG25" s="500" t="str">
        <f t="shared" ref="AG25" si="300">IFERROR(IF(ROUND($G24/12,2)=0,"",ROUND($G24/12,2))+AE25,"")</f>
        <v/>
      </c>
      <c r="AH25" s="506" t="str">
        <f t="shared" ref="AH25" si="301">IFERROR(IF(ROUND($H24/12,2)=0,"",ROUND($H24/12,2))+AF25,"")</f>
        <v/>
      </c>
      <c r="AI25" s="612"/>
      <c r="AJ25" s="614"/>
      <c r="AK25" s="616"/>
      <c r="AL25" s="618"/>
      <c r="AM25" s="363"/>
    </row>
    <row r="26" spans="1:39" x14ac:dyDescent="0.25">
      <c r="A26" s="578"/>
      <c r="B26" s="580"/>
      <c r="C26" s="582"/>
      <c r="D26" s="584"/>
      <c r="E26" s="574"/>
      <c r="F26" s="572"/>
      <c r="G26" s="574"/>
      <c r="H26" s="576"/>
      <c r="I26" s="364"/>
      <c r="J26" s="287" t="str">
        <f t="shared" ref="J26" si="302">IF(ISBLANK(A26),"",B26)</f>
        <v/>
      </c>
      <c r="K26" s="257"/>
      <c r="L26" s="418"/>
      <c r="M26" s="419"/>
      <c r="N26" s="419"/>
      <c r="O26" s="418"/>
      <c r="P26" s="418"/>
      <c r="Q26" s="419"/>
      <c r="R26" s="419"/>
      <c r="S26" s="418"/>
      <c r="T26" s="418"/>
      <c r="U26" s="419"/>
      <c r="V26" s="419"/>
      <c r="W26" s="418"/>
      <c r="X26" s="418"/>
      <c r="Y26" s="419"/>
      <c r="Z26" s="419"/>
      <c r="AA26" s="418"/>
      <c r="AB26" s="418"/>
      <c r="AC26" s="419"/>
      <c r="AD26" s="419"/>
      <c r="AE26" s="418"/>
      <c r="AF26" s="418"/>
      <c r="AG26" s="419"/>
      <c r="AH26" s="258"/>
      <c r="AI26" s="611">
        <f t="shared" ref="AI26" si="303">SUM(K26,M26,O26,Q26,S26,U26,W26,Y26,AA26,AC26,AE26,AG26)</f>
        <v>0</v>
      </c>
      <c r="AJ26" s="613">
        <f t="shared" ref="AJ26" si="304">SUM(L26,N26,P26,R26,T26,V26,X26,Z26,AB26,AD26,AF26,AH26)</f>
        <v>0</v>
      </c>
      <c r="AK26" s="615">
        <f t="shared" ref="AK26" si="305">IFERROR(AI26/G26,0)</f>
        <v>0</v>
      </c>
      <c r="AL26" s="617">
        <f t="shared" ref="AL26" si="306">IFERROR(AJ26/H26,0)</f>
        <v>0</v>
      </c>
      <c r="AM26" s="363"/>
    </row>
    <row r="27" spans="1:39" ht="15.75" thickBot="1" x14ac:dyDescent="0.3">
      <c r="A27" s="579"/>
      <c r="B27" s="581"/>
      <c r="C27" s="583"/>
      <c r="D27" s="585"/>
      <c r="E27" s="575"/>
      <c r="F27" s="573"/>
      <c r="G27" s="575"/>
      <c r="H27" s="577"/>
      <c r="I27" s="364"/>
      <c r="J27" s="391" t="s">
        <v>206</v>
      </c>
      <c r="K27" s="502" t="str">
        <f t="shared" ref="K27" si="307">IF(ROUND($G26/12,2)=0,"",ROUND($G26/12,2))</f>
        <v/>
      </c>
      <c r="L27" s="503" t="str">
        <f t="shared" ref="L27" si="308">IF(ROUND($H26/12,2)=0,"",ROUND($H26/12,2))</f>
        <v/>
      </c>
      <c r="M27" s="500" t="str">
        <f t="shared" ref="M27" si="309">IFERROR(IF(ROUND($G26/12,2)=0,"",ROUND($G26/12,2))+K27,"")</f>
        <v/>
      </c>
      <c r="N27" s="504" t="str">
        <f t="shared" ref="N27" si="310">IFERROR(IF(ROUND($H26/12,2)=0,"",ROUND($H26/12,2))+L27,"")</f>
        <v/>
      </c>
      <c r="O27" s="501" t="str">
        <f t="shared" ref="O27" si="311">IFERROR(IF(ROUND($G26/12,2)=0,"",ROUND($G26/12,2))+M27,"")</f>
        <v/>
      </c>
      <c r="P27" s="505" t="str">
        <f t="shared" ref="P27" si="312">IFERROR(IF(ROUND($H26/12,2)=0,"",ROUND($H26/12,2))+N27,"")</f>
        <v/>
      </c>
      <c r="Q27" s="500" t="str">
        <f t="shared" ref="Q27" si="313">IFERROR(IF(ROUND($G26/12,2)=0,"",ROUND($G26/12,2))+O27,"")</f>
        <v/>
      </c>
      <c r="R27" s="504" t="str">
        <f t="shared" ref="R27" si="314">IFERROR(IF(ROUND($H26/12,2)=0,"",ROUND($H26/12,2))+P27,"")</f>
        <v/>
      </c>
      <c r="S27" s="501" t="str">
        <f t="shared" ref="S27" si="315">IFERROR(IF(ROUND($G26/12,2)=0,"",ROUND($G26/12,2))+Q27,"")</f>
        <v/>
      </c>
      <c r="T27" s="505" t="str">
        <f t="shared" ref="T27" si="316">IFERROR(IF(ROUND($H26/12,2)=0,"",ROUND($H26/12,2))+R27,"")</f>
        <v/>
      </c>
      <c r="U27" s="500" t="str">
        <f t="shared" ref="U27" si="317">IFERROR(IF(ROUND($G26/12,2)=0,"",ROUND($G26/12,2))+S27,"")</f>
        <v/>
      </c>
      <c r="V27" s="504" t="str">
        <f t="shared" ref="V27" si="318">IFERROR(IF(ROUND($H26/12,2)=0,"",ROUND($H26/12,2))+T27,"")</f>
        <v/>
      </c>
      <c r="W27" s="501" t="str">
        <f t="shared" ref="W27" si="319">IFERROR(IF(ROUND($G26/12,2)=0,"",ROUND($G26/12,2))+U27,"")</f>
        <v/>
      </c>
      <c r="X27" s="505" t="str">
        <f t="shared" ref="X27" si="320">IFERROR(IF(ROUND($H26/12,2)=0,"",ROUND($H26/12,2))+V27,"")</f>
        <v/>
      </c>
      <c r="Y27" s="500" t="str">
        <f t="shared" ref="Y27" si="321">IFERROR(IF(ROUND($G26/12,2)=0,"",ROUND($G26/12,2))+W27,"")</f>
        <v/>
      </c>
      <c r="Z27" s="504" t="str">
        <f t="shared" ref="Z27" si="322">IFERROR(IF(ROUND($H26/12,2)=0,"",ROUND($H26/12,2))+X27,"")</f>
        <v/>
      </c>
      <c r="AA27" s="501" t="str">
        <f t="shared" ref="AA27" si="323">IFERROR(IF(ROUND($G26/12,2)=0,"",ROUND($G26/12,2))+Y27,"")</f>
        <v/>
      </c>
      <c r="AB27" s="505" t="str">
        <f t="shared" ref="AB27" si="324">IFERROR(IF(ROUND($H26/12,2)=0,"",ROUND($H26/12,2))+Z27,"")</f>
        <v/>
      </c>
      <c r="AC27" s="500" t="str">
        <f t="shared" ref="AC27" si="325">IFERROR(IF(ROUND($G26/12,2)=0,"",ROUND($G26/12,2))+AA27,"")</f>
        <v/>
      </c>
      <c r="AD27" s="504" t="str">
        <f t="shared" ref="AD27" si="326">IFERROR(IF(ROUND($H26/12,2)=0,"",ROUND($H26/12,2))+AB27,"")</f>
        <v/>
      </c>
      <c r="AE27" s="501" t="str">
        <f t="shared" ref="AE27" si="327">IFERROR(IF(ROUND($G26/12,2)=0,"",ROUND($G26/12,2))+AC27,"")</f>
        <v/>
      </c>
      <c r="AF27" s="505" t="str">
        <f t="shared" ref="AF27" si="328">IFERROR(IF(ROUND($H26/12,2)=0,"",ROUND($H26/12,2))+AD27,"")</f>
        <v/>
      </c>
      <c r="AG27" s="500" t="str">
        <f t="shared" ref="AG27" si="329">IFERROR(IF(ROUND($G26/12,2)=0,"",ROUND($G26/12,2))+AE27,"")</f>
        <v/>
      </c>
      <c r="AH27" s="506" t="str">
        <f t="shared" ref="AH27" si="330">IFERROR(IF(ROUND($H26/12,2)=0,"",ROUND($H26/12,2))+AF27,"")</f>
        <v/>
      </c>
      <c r="AI27" s="612"/>
      <c r="AJ27" s="614"/>
      <c r="AK27" s="616"/>
      <c r="AL27" s="618"/>
      <c r="AM27" s="363"/>
    </row>
    <row r="28" spans="1:39" x14ac:dyDescent="0.25">
      <c r="A28" s="578"/>
      <c r="B28" s="580"/>
      <c r="C28" s="582"/>
      <c r="D28" s="584"/>
      <c r="E28" s="574"/>
      <c r="F28" s="572"/>
      <c r="G28" s="574"/>
      <c r="H28" s="576"/>
      <c r="I28" s="364"/>
      <c r="J28" s="287" t="str">
        <f t="shared" ref="J28" si="331">IF(ISBLANK(A28),"",B28)</f>
        <v/>
      </c>
      <c r="K28" s="257"/>
      <c r="L28" s="418"/>
      <c r="M28" s="419"/>
      <c r="N28" s="419"/>
      <c r="O28" s="418"/>
      <c r="P28" s="418"/>
      <c r="Q28" s="419"/>
      <c r="R28" s="419"/>
      <c r="S28" s="418"/>
      <c r="T28" s="418"/>
      <c r="U28" s="419"/>
      <c r="V28" s="419"/>
      <c r="W28" s="418"/>
      <c r="X28" s="418"/>
      <c r="Y28" s="419"/>
      <c r="Z28" s="419"/>
      <c r="AA28" s="418"/>
      <c r="AB28" s="418"/>
      <c r="AC28" s="419"/>
      <c r="AD28" s="419"/>
      <c r="AE28" s="418"/>
      <c r="AF28" s="418"/>
      <c r="AG28" s="419"/>
      <c r="AH28" s="258"/>
      <c r="AI28" s="611">
        <f t="shared" ref="AI28" si="332">SUM(K28,M28,O28,Q28,S28,U28,W28,Y28,AA28,AC28,AE28,AG28)</f>
        <v>0</v>
      </c>
      <c r="AJ28" s="613">
        <f t="shared" ref="AJ28" si="333">SUM(L28,N28,P28,R28,T28,V28,X28,Z28,AB28,AD28,AF28,AH28)</f>
        <v>0</v>
      </c>
      <c r="AK28" s="615">
        <f t="shared" ref="AK28" si="334">IFERROR(AI28/G28,0)</f>
        <v>0</v>
      </c>
      <c r="AL28" s="617">
        <f t="shared" ref="AL28" si="335">IFERROR(AJ28/H28,0)</f>
        <v>0</v>
      </c>
      <c r="AM28" s="363"/>
    </row>
    <row r="29" spans="1:39" ht="15.75" thickBot="1" x14ac:dyDescent="0.3">
      <c r="A29" s="579"/>
      <c r="B29" s="581"/>
      <c r="C29" s="583"/>
      <c r="D29" s="585"/>
      <c r="E29" s="575"/>
      <c r="F29" s="573"/>
      <c r="G29" s="575"/>
      <c r="H29" s="577"/>
      <c r="I29" s="364"/>
      <c r="J29" s="391" t="s">
        <v>206</v>
      </c>
      <c r="K29" s="502" t="str">
        <f t="shared" ref="K29" si="336">IF(ROUND($G28/12,2)=0,"",ROUND($G28/12,2))</f>
        <v/>
      </c>
      <c r="L29" s="503" t="str">
        <f t="shared" ref="L29" si="337">IF(ROUND($H28/12,2)=0,"",ROUND($H28/12,2))</f>
        <v/>
      </c>
      <c r="M29" s="500" t="str">
        <f t="shared" ref="M29" si="338">IFERROR(IF(ROUND($G28/12,2)=0,"",ROUND($G28/12,2))+K29,"")</f>
        <v/>
      </c>
      <c r="N29" s="504" t="str">
        <f t="shared" ref="N29" si="339">IFERROR(IF(ROUND($H28/12,2)=0,"",ROUND($H28/12,2))+L29,"")</f>
        <v/>
      </c>
      <c r="O29" s="501" t="str">
        <f t="shared" ref="O29" si="340">IFERROR(IF(ROUND($G28/12,2)=0,"",ROUND($G28/12,2))+M29,"")</f>
        <v/>
      </c>
      <c r="P29" s="505" t="str">
        <f t="shared" ref="P29" si="341">IFERROR(IF(ROUND($H28/12,2)=0,"",ROUND($H28/12,2))+N29,"")</f>
        <v/>
      </c>
      <c r="Q29" s="500" t="str">
        <f t="shared" ref="Q29" si="342">IFERROR(IF(ROUND($G28/12,2)=0,"",ROUND($G28/12,2))+O29,"")</f>
        <v/>
      </c>
      <c r="R29" s="504" t="str">
        <f t="shared" ref="R29" si="343">IFERROR(IF(ROUND($H28/12,2)=0,"",ROUND($H28/12,2))+P29,"")</f>
        <v/>
      </c>
      <c r="S29" s="501" t="str">
        <f t="shared" ref="S29" si="344">IFERROR(IF(ROUND($G28/12,2)=0,"",ROUND($G28/12,2))+Q29,"")</f>
        <v/>
      </c>
      <c r="T29" s="505" t="str">
        <f t="shared" ref="T29" si="345">IFERROR(IF(ROUND($H28/12,2)=0,"",ROUND($H28/12,2))+R29,"")</f>
        <v/>
      </c>
      <c r="U29" s="500" t="str">
        <f t="shared" ref="U29" si="346">IFERROR(IF(ROUND($G28/12,2)=0,"",ROUND($G28/12,2))+S29,"")</f>
        <v/>
      </c>
      <c r="V29" s="504" t="str">
        <f t="shared" ref="V29" si="347">IFERROR(IF(ROUND($H28/12,2)=0,"",ROUND($H28/12,2))+T29,"")</f>
        <v/>
      </c>
      <c r="W29" s="501" t="str">
        <f t="shared" ref="W29" si="348">IFERROR(IF(ROUND($G28/12,2)=0,"",ROUND($G28/12,2))+U29,"")</f>
        <v/>
      </c>
      <c r="X29" s="505" t="str">
        <f t="shared" ref="X29" si="349">IFERROR(IF(ROUND($H28/12,2)=0,"",ROUND($H28/12,2))+V29,"")</f>
        <v/>
      </c>
      <c r="Y29" s="500" t="str">
        <f t="shared" ref="Y29" si="350">IFERROR(IF(ROUND($G28/12,2)=0,"",ROUND($G28/12,2))+W29,"")</f>
        <v/>
      </c>
      <c r="Z29" s="504" t="str">
        <f t="shared" ref="Z29" si="351">IFERROR(IF(ROUND($H28/12,2)=0,"",ROUND($H28/12,2))+X29,"")</f>
        <v/>
      </c>
      <c r="AA29" s="501" t="str">
        <f t="shared" ref="AA29" si="352">IFERROR(IF(ROUND($G28/12,2)=0,"",ROUND($G28/12,2))+Y29,"")</f>
        <v/>
      </c>
      <c r="AB29" s="505" t="str">
        <f t="shared" ref="AB29" si="353">IFERROR(IF(ROUND($H28/12,2)=0,"",ROUND($H28/12,2))+Z29,"")</f>
        <v/>
      </c>
      <c r="AC29" s="500" t="str">
        <f t="shared" ref="AC29" si="354">IFERROR(IF(ROUND($G28/12,2)=0,"",ROUND($G28/12,2))+AA29,"")</f>
        <v/>
      </c>
      <c r="AD29" s="504" t="str">
        <f t="shared" ref="AD29" si="355">IFERROR(IF(ROUND($H28/12,2)=0,"",ROUND($H28/12,2))+AB29,"")</f>
        <v/>
      </c>
      <c r="AE29" s="501" t="str">
        <f t="shared" ref="AE29" si="356">IFERROR(IF(ROUND($G28/12,2)=0,"",ROUND($G28/12,2))+AC29,"")</f>
        <v/>
      </c>
      <c r="AF29" s="505" t="str">
        <f t="shared" ref="AF29" si="357">IFERROR(IF(ROUND($H28/12,2)=0,"",ROUND($H28/12,2))+AD29,"")</f>
        <v/>
      </c>
      <c r="AG29" s="500" t="str">
        <f t="shared" ref="AG29" si="358">IFERROR(IF(ROUND($G28/12,2)=0,"",ROUND($G28/12,2))+AE29,"")</f>
        <v/>
      </c>
      <c r="AH29" s="506" t="str">
        <f t="shared" ref="AH29" si="359">IFERROR(IF(ROUND($H28/12,2)=0,"",ROUND($H28/12,2))+AF29,"")</f>
        <v/>
      </c>
      <c r="AI29" s="612"/>
      <c r="AJ29" s="614"/>
      <c r="AK29" s="616"/>
      <c r="AL29" s="618"/>
      <c r="AM29" s="363"/>
    </row>
    <row r="30" spans="1:39" x14ac:dyDescent="0.25">
      <c r="A30" s="578"/>
      <c r="B30" s="580"/>
      <c r="C30" s="582"/>
      <c r="D30" s="584"/>
      <c r="E30" s="574"/>
      <c r="F30" s="572"/>
      <c r="G30" s="574"/>
      <c r="H30" s="576"/>
      <c r="I30" s="363"/>
      <c r="J30" s="287" t="str">
        <f t="shared" ref="J30" si="360">IF(ISBLANK(A30),"",B30)</f>
        <v/>
      </c>
      <c r="K30" s="257"/>
      <c r="L30" s="418"/>
      <c r="M30" s="419"/>
      <c r="N30" s="419"/>
      <c r="O30" s="418"/>
      <c r="P30" s="418"/>
      <c r="Q30" s="419"/>
      <c r="R30" s="419"/>
      <c r="S30" s="418"/>
      <c r="T30" s="418"/>
      <c r="U30" s="419"/>
      <c r="V30" s="419"/>
      <c r="W30" s="418"/>
      <c r="X30" s="418"/>
      <c r="Y30" s="419"/>
      <c r="Z30" s="419"/>
      <c r="AA30" s="418"/>
      <c r="AB30" s="418"/>
      <c r="AC30" s="419"/>
      <c r="AD30" s="419"/>
      <c r="AE30" s="418"/>
      <c r="AF30" s="418"/>
      <c r="AG30" s="419"/>
      <c r="AH30" s="258"/>
      <c r="AI30" s="611">
        <f t="shared" ref="AI30" si="361">SUM(K30,M30,O30,Q30,S30,U30,W30,Y30,AA30,AC30,AE30,AG30)</f>
        <v>0</v>
      </c>
      <c r="AJ30" s="613">
        <f t="shared" ref="AJ30" si="362">SUM(L30,N30,P30,R30,T30,V30,X30,Z30,AB30,AD30,AF30,AH30)</f>
        <v>0</v>
      </c>
      <c r="AK30" s="615">
        <f t="shared" ref="AK30" si="363">IFERROR(AI30/G30,0)</f>
        <v>0</v>
      </c>
      <c r="AL30" s="617">
        <f t="shared" ref="AL30" si="364">IFERROR(AJ30/H30,0)</f>
        <v>0</v>
      </c>
      <c r="AM30" s="363"/>
    </row>
    <row r="31" spans="1:39" ht="15.75" thickBot="1" x14ac:dyDescent="0.3">
      <c r="A31" s="579"/>
      <c r="B31" s="581"/>
      <c r="C31" s="583"/>
      <c r="D31" s="585"/>
      <c r="E31" s="575"/>
      <c r="F31" s="573"/>
      <c r="G31" s="575"/>
      <c r="H31" s="577"/>
      <c r="I31" s="363"/>
      <c r="J31" s="391" t="s">
        <v>206</v>
      </c>
      <c r="K31" s="502" t="str">
        <f t="shared" ref="K31" si="365">IF(ROUND($G30/12,2)=0,"",ROUND($G30/12,2))</f>
        <v/>
      </c>
      <c r="L31" s="503" t="str">
        <f t="shared" ref="L31" si="366">IF(ROUND($H30/12,2)=0,"",ROUND($H30/12,2))</f>
        <v/>
      </c>
      <c r="M31" s="500" t="str">
        <f t="shared" ref="M31" si="367">IFERROR(IF(ROUND($G30/12,2)=0,"",ROUND($G30/12,2))+K31,"")</f>
        <v/>
      </c>
      <c r="N31" s="504" t="str">
        <f t="shared" ref="N31" si="368">IFERROR(IF(ROUND($H30/12,2)=0,"",ROUND($H30/12,2))+L31,"")</f>
        <v/>
      </c>
      <c r="O31" s="501" t="str">
        <f t="shared" ref="O31" si="369">IFERROR(IF(ROUND($G30/12,2)=0,"",ROUND($G30/12,2))+M31,"")</f>
        <v/>
      </c>
      <c r="P31" s="505" t="str">
        <f t="shared" ref="P31" si="370">IFERROR(IF(ROUND($H30/12,2)=0,"",ROUND($H30/12,2))+N31,"")</f>
        <v/>
      </c>
      <c r="Q31" s="500" t="str">
        <f t="shared" ref="Q31" si="371">IFERROR(IF(ROUND($G30/12,2)=0,"",ROUND($G30/12,2))+O31,"")</f>
        <v/>
      </c>
      <c r="R31" s="504" t="str">
        <f t="shared" ref="R31" si="372">IFERROR(IF(ROUND($H30/12,2)=0,"",ROUND($H30/12,2))+P31,"")</f>
        <v/>
      </c>
      <c r="S31" s="501" t="str">
        <f t="shared" ref="S31" si="373">IFERROR(IF(ROUND($G30/12,2)=0,"",ROUND($G30/12,2))+Q31,"")</f>
        <v/>
      </c>
      <c r="T31" s="505" t="str">
        <f t="shared" ref="T31" si="374">IFERROR(IF(ROUND($H30/12,2)=0,"",ROUND($H30/12,2))+R31,"")</f>
        <v/>
      </c>
      <c r="U31" s="500" t="str">
        <f t="shared" ref="U31" si="375">IFERROR(IF(ROUND($G30/12,2)=0,"",ROUND($G30/12,2))+S31,"")</f>
        <v/>
      </c>
      <c r="V31" s="504" t="str">
        <f t="shared" ref="V31" si="376">IFERROR(IF(ROUND($H30/12,2)=0,"",ROUND($H30/12,2))+T31,"")</f>
        <v/>
      </c>
      <c r="W31" s="501" t="str">
        <f t="shared" ref="W31" si="377">IFERROR(IF(ROUND($G30/12,2)=0,"",ROUND($G30/12,2))+U31,"")</f>
        <v/>
      </c>
      <c r="X31" s="505" t="str">
        <f t="shared" ref="X31" si="378">IFERROR(IF(ROUND($H30/12,2)=0,"",ROUND($H30/12,2))+V31,"")</f>
        <v/>
      </c>
      <c r="Y31" s="500" t="str">
        <f t="shared" ref="Y31" si="379">IFERROR(IF(ROUND($G30/12,2)=0,"",ROUND($G30/12,2))+W31,"")</f>
        <v/>
      </c>
      <c r="Z31" s="504" t="str">
        <f t="shared" ref="Z31" si="380">IFERROR(IF(ROUND($H30/12,2)=0,"",ROUND($H30/12,2))+X31,"")</f>
        <v/>
      </c>
      <c r="AA31" s="501" t="str">
        <f t="shared" ref="AA31" si="381">IFERROR(IF(ROUND($G30/12,2)=0,"",ROUND($G30/12,2))+Y31,"")</f>
        <v/>
      </c>
      <c r="AB31" s="505" t="str">
        <f t="shared" ref="AB31" si="382">IFERROR(IF(ROUND($H30/12,2)=0,"",ROUND($H30/12,2))+Z31,"")</f>
        <v/>
      </c>
      <c r="AC31" s="500" t="str">
        <f t="shared" ref="AC31" si="383">IFERROR(IF(ROUND($G30/12,2)=0,"",ROUND($G30/12,2))+AA31,"")</f>
        <v/>
      </c>
      <c r="AD31" s="504" t="str">
        <f t="shared" ref="AD31" si="384">IFERROR(IF(ROUND($H30/12,2)=0,"",ROUND($H30/12,2))+AB31,"")</f>
        <v/>
      </c>
      <c r="AE31" s="501" t="str">
        <f t="shared" ref="AE31" si="385">IFERROR(IF(ROUND($G30/12,2)=0,"",ROUND($G30/12,2))+AC31,"")</f>
        <v/>
      </c>
      <c r="AF31" s="505" t="str">
        <f t="shared" ref="AF31" si="386">IFERROR(IF(ROUND($H30/12,2)=0,"",ROUND($H30/12,2))+AD31,"")</f>
        <v/>
      </c>
      <c r="AG31" s="500" t="str">
        <f t="shared" ref="AG31" si="387">IFERROR(IF(ROUND($G30/12,2)=0,"",ROUND($G30/12,2))+AE31,"")</f>
        <v/>
      </c>
      <c r="AH31" s="506" t="str">
        <f t="shared" ref="AH31" si="388">IFERROR(IF(ROUND($H30/12,2)=0,"",ROUND($H30/12,2))+AF31,"")</f>
        <v/>
      </c>
      <c r="AI31" s="612"/>
      <c r="AJ31" s="614"/>
      <c r="AK31" s="616"/>
      <c r="AL31" s="618"/>
      <c r="AM31" s="363"/>
    </row>
    <row r="32" spans="1:39" x14ac:dyDescent="0.25">
      <c r="A32" s="578"/>
      <c r="B32" s="580"/>
      <c r="C32" s="582"/>
      <c r="D32" s="584"/>
      <c r="E32" s="574"/>
      <c r="F32" s="572"/>
      <c r="G32" s="574"/>
      <c r="H32" s="576"/>
      <c r="J32" s="287" t="str">
        <f t="shared" ref="J32" si="389">IF(ISBLANK(A32),"",B32)</f>
        <v/>
      </c>
      <c r="K32" s="257"/>
      <c r="L32" s="418"/>
      <c r="M32" s="419"/>
      <c r="N32" s="419"/>
      <c r="O32" s="418"/>
      <c r="P32" s="418"/>
      <c r="Q32" s="419"/>
      <c r="R32" s="419"/>
      <c r="S32" s="418"/>
      <c r="T32" s="418"/>
      <c r="U32" s="419"/>
      <c r="V32" s="419"/>
      <c r="W32" s="418"/>
      <c r="X32" s="418"/>
      <c r="Y32" s="419"/>
      <c r="Z32" s="419"/>
      <c r="AA32" s="418"/>
      <c r="AB32" s="418"/>
      <c r="AC32" s="419"/>
      <c r="AD32" s="419"/>
      <c r="AE32" s="418"/>
      <c r="AF32" s="418"/>
      <c r="AG32" s="419"/>
      <c r="AH32" s="258"/>
      <c r="AI32" s="611">
        <f t="shared" ref="AI32" si="390">SUM(K32,M32,O32,Q32,S32,U32,W32,Y32,AA32,AC32,AE32,AG32)</f>
        <v>0</v>
      </c>
      <c r="AJ32" s="613">
        <f t="shared" ref="AJ32" si="391">SUM(L32,N32,P32,R32,T32,V32,X32,Z32,AB32,AD32,AF32,AH32)</f>
        <v>0</v>
      </c>
      <c r="AK32" s="615">
        <f t="shared" ref="AK32" si="392">IFERROR(AI32/G32,0)</f>
        <v>0</v>
      </c>
      <c r="AL32" s="617">
        <f t="shared" ref="AL32" si="393">IFERROR(AJ32/H32,0)</f>
        <v>0</v>
      </c>
      <c r="AM32" s="363"/>
    </row>
    <row r="33" spans="1:39" ht="15.75" thickBot="1" x14ac:dyDescent="0.3">
      <c r="A33" s="579"/>
      <c r="B33" s="581"/>
      <c r="C33" s="583"/>
      <c r="D33" s="585"/>
      <c r="E33" s="575"/>
      <c r="F33" s="573"/>
      <c r="G33" s="575"/>
      <c r="H33" s="577"/>
      <c r="J33" s="391" t="s">
        <v>206</v>
      </c>
      <c r="K33" s="502" t="str">
        <f t="shared" ref="K33" si="394">IF(ROUND($G32/12,2)=0,"",ROUND($G32/12,2))</f>
        <v/>
      </c>
      <c r="L33" s="503" t="str">
        <f t="shared" ref="L33" si="395">IF(ROUND($H32/12,2)=0,"",ROUND($H32/12,2))</f>
        <v/>
      </c>
      <c r="M33" s="500" t="str">
        <f t="shared" ref="M33" si="396">IFERROR(IF(ROUND($G32/12,2)=0,"",ROUND($G32/12,2))+K33,"")</f>
        <v/>
      </c>
      <c r="N33" s="504" t="str">
        <f t="shared" ref="N33" si="397">IFERROR(IF(ROUND($H32/12,2)=0,"",ROUND($H32/12,2))+L33,"")</f>
        <v/>
      </c>
      <c r="O33" s="501" t="str">
        <f t="shared" ref="O33" si="398">IFERROR(IF(ROUND($G32/12,2)=0,"",ROUND($G32/12,2))+M33,"")</f>
        <v/>
      </c>
      <c r="P33" s="505" t="str">
        <f t="shared" ref="P33" si="399">IFERROR(IF(ROUND($H32/12,2)=0,"",ROUND($H32/12,2))+N33,"")</f>
        <v/>
      </c>
      <c r="Q33" s="500" t="str">
        <f t="shared" ref="Q33" si="400">IFERROR(IF(ROUND($G32/12,2)=0,"",ROUND($G32/12,2))+O33,"")</f>
        <v/>
      </c>
      <c r="R33" s="504" t="str">
        <f t="shared" ref="R33" si="401">IFERROR(IF(ROUND($H32/12,2)=0,"",ROUND($H32/12,2))+P33,"")</f>
        <v/>
      </c>
      <c r="S33" s="501" t="str">
        <f t="shared" ref="S33" si="402">IFERROR(IF(ROUND($G32/12,2)=0,"",ROUND($G32/12,2))+Q33,"")</f>
        <v/>
      </c>
      <c r="T33" s="505" t="str">
        <f t="shared" ref="T33" si="403">IFERROR(IF(ROUND($H32/12,2)=0,"",ROUND($H32/12,2))+R33,"")</f>
        <v/>
      </c>
      <c r="U33" s="500" t="str">
        <f t="shared" ref="U33" si="404">IFERROR(IF(ROUND($G32/12,2)=0,"",ROUND($G32/12,2))+S33,"")</f>
        <v/>
      </c>
      <c r="V33" s="504" t="str">
        <f t="shared" ref="V33" si="405">IFERROR(IF(ROUND($H32/12,2)=0,"",ROUND($H32/12,2))+T33,"")</f>
        <v/>
      </c>
      <c r="W33" s="501" t="str">
        <f t="shared" ref="W33" si="406">IFERROR(IF(ROUND($G32/12,2)=0,"",ROUND($G32/12,2))+U33,"")</f>
        <v/>
      </c>
      <c r="X33" s="505" t="str">
        <f t="shared" ref="X33" si="407">IFERROR(IF(ROUND($H32/12,2)=0,"",ROUND($H32/12,2))+V33,"")</f>
        <v/>
      </c>
      <c r="Y33" s="500" t="str">
        <f t="shared" ref="Y33" si="408">IFERROR(IF(ROUND($G32/12,2)=0,"",ROUND($G32/12,2))+W33,"")</f>
        <v/>
      </c>
      <c r="Z33" s="504" t="str">
        <f t="shared" ref="Z33" si="409">IFERROR(IF(ROUND($H32/12,2)=0,"",ROUND($H32/12,2))+X33,"")</f>
        <v/>
      </c>
      <c r="AA33" s="501" t="str">
        <f t="shared" ref="AA33" si="410">IFERROR(IF(ROUND($G32/12,2)=0,"",ROUND($G32/12,2))+Y33,"")</f>
        <v/>
      </c>
      <c r="AB33" s="505" t="str">
        <f t="shared" ref="AB33" si="411">IFERROR(IF(ROUND($H32/12,2)=0,"",ROUND($H32/12,2))+Z33,"")</f>
        <v/>
      </c>
      <c r="AC33" s="500" t="str">
        <f t="shared" ref="AC33" si="412">IFERROR(IF(ROUND($G32/12,2)=0,"",ROUND($G32/12,2))+AA33,"")</f>
        <v/>
      </c>
      <c r="AD33" s="504" t="str">
        <f t="shared" ref="AD33" si="413">IFERROR(IF(ROUND($H32/12,2)=0,"",ROUND($H32/12,2))+AB33,"")</f>
        <v/>
      </c>
      <c r="AE33" s="501" t="str">
        <f t="shared" ref="AE33" si="414">IFERROR(IF(ROUND($G32/12,2)=0,"",ROUND($G32/12,2))+AC33,"")</f>
        <v/>
      </c>
      <c r="AF33" s="505" t="str">
        <f t="shared" ref="AF33" si="415">IFERROR(IF(ROUND($H32/12,2)=0,"",ROUND($H32/12,2))+AD33,"")</f>
        <v/>
      </c>
      <c r="AG33" s="500" t="str">
        <f t="shared" ref="AG33" si="416">IFERROR(IF(ROUND($G32/12,2)=0,"",ROUND($G32/12,2))+AE33,"")</f>
        <v/>
      </c>
      <c r="AH33" s="506" t="str">
        <f t="shared" ref="AH33" si="417">IFERROR(IF(ROUND($H32/12,2)=0,"",ROUND($H32/12,2))+AF33,"")</f>
        <v/>
      </c>
      <c r="AI33" s="612"/>
      <c r="AJ33" s="614"/>
      <c r="AK33" s="616"/>
      <c r="AL33" s="618"/>
      <c r="AM33" s="363"/>
    </row>
    <row r="34" spans="1:39" x14ac:dyDescent="0.25">
      <c r="A34" s="578"/>
      <c r="B34" s="580"/>
      <c r="C34" s="582"/>
      <c r="D34" s="584"/>
      <c r="E34" s="574"/>
      <c r="F34" s="572"/>
      <c r="G34" s="574"/>
      <c r="H34" s="576"/>
      <c r="J34" s="287" t="str">
        <f t="shared" ref="J34" si="418">IF(ISBLANK(A34),"",B34)</f>
        <v/>
      </c>
      <c r="K34" s="257"/>
      <c r="L34" s="418"/>
      <c r="M34" s="419"/>
      <c r="N34" s="419"/>
      <c r="O34" s="418"/>
      <c r="P34" s="418"/>
      <c r="Q34" s="419"/>
      <c r="R34" s="419"/>
      <c r="S34" s="418"/>
      <c r="T34" s="418"/>
      <c r="U34" s="419"/>
      <c r="V34" s="419"/>
      <c r="W34" s="418"/>
      <c r="X34" s="418"/>
      <c r="Y34" s="419"/>
      <c r="Z34" s="419"/>
      <c r="AA34" s="418"/>
      <c r="AB34" s="418"/>
      <c r="AC34" s="419"/>
      <c r="AD34" s="419"/>
      <c r="AE34" s="418"/>
      <c r="AF34" s="418"/>
      <c r="AG34" s="419"/>
      <c r="AH34" s="258"/>
      <c r="AI34" s="611">
        <f t="shared" ref="AI34" si="419">SUM(K34,M34,O34,Q34,S34,U34,W34,Y34,AA34,AC34,AE34,AG34)</f>
        <v>0</v>
      </c>
      <c r="AJ34" s="613">
        <f t="shared" ref="AJ34" si="420">SUM(L34,N34,P34,R34,T34,V34,X34,Z34,AB34,AD34,AF34,AH34)</f>
        <v>0</v>
      </c>
      <c r="AK34" s="615">
        <f t="shared" ref="AK34" si="421">IFERROR(AI34/G34,0)</f>
        <v>0</v>
      </c>
      <c r="AL34" s="617">
        <f t="shared" ref="AL34" si="422">IFERROR(AJ34/H34,0)</f>
        <v>0</v>
      </c>
      <c r="AM34" s="363"/>
    </row>
    <row r="35" spans="1:39" ht="15.75" thickBot="1" x14ac:dyDescent="0.3">
      <c r="A35" s="579"/>
      <c r="B35" s="581"/>
      <c r="C35" s="583"/>
      <c r="D35" s="585"/>
      <c r="E35" s="575"/>
      <c r="F35" s="573"/>
      <c r="G35" s="575"/>
      <c r="H35" s="577"/>
      <c r="J35" s="391" t="s">
        <v>206</v>
      </c>
      <c r="K35" s="502" t="str">
        <f t="shared" ref="K35" si="423">IF(ROUND($G34/12,2)=0,"",ROUND($G34/12,2))</f>
        <v/>
      </c>
      <c r="L35" s="503" t="str">
        <f t="shared" ref="L35" si="424">IF(ROUND($H34/12,2)=0,"",ROUND($H34/12,2))</f>
        <v/>
      </c>
      <c r="M35" s="500" t="str">
        <f t="shared" ref="M35" si="425">IFERROR(IF(ROUND($G34/12,2)=0,"",ROUND($G34/12,2))+K35,"")</f>
        <v/>
      </c>
      <c r="N35" s="504" t="str">
        <f t="shared" ref="N35" si="426">IFERROR(IF(ROUND($H34/12,2)=0,"",ROUND($H34/12,2))+L35,"")</f>
        <v/>
      </c>
      <c r="O35" s="501" t="str">
        <f t="shared" ref="O35" si="427">IFERROR(IF(ROUND($G34/12,2)=0,"",ROUND($G34/12,2))+M35,"")</f>
        <v/>
      </c>
      <c r="P35" s="505" t="str">
        <f t="shared" ref="P35" si="428">IFERROR(IF(ROUND($H34/12,2)=0,"",ROUND($H34/12,2))+N35,"")</f>
        <v/>
      </c>
      <c r="Q35" s="500" t="str">
        <f t="shared" ref="Q35" si="429">IFERROR(IF(ROUND($G34/12,2)=0,"",ROUND($G34/12,2))+O35,"")</f>
        <v/>
      </c>
      <c r="R35" s="504" t="str">
        <f t="shared" ref="R35" si="430">IFERROR(IF(ROUND($H34/12,2)=0,"",ROUND($H34/12,2))+P35,"")</f>
        <v/>
      </c>
      <c r="S35" s="501" t="str">
        <f t="shared" ref="S35" si="431">IFERROR(IF(ROUND($G34/12,2)=0,"",ROUND($G34/12,2))+Q35,"")</f>
        <v/>
      </c>
      <c r="T35" s="505" t="str">
        <f t="shared" ref="T35" si="432">IFERROR(IF(ROUND($H34/12,2)=0,"",ROUND($H34/12,2))+R35,"")</f>
        <v/>
      </c>
      <c r="U35" s="500" t="str">
        <f t="shared" ref="U35" si="433">IFERROR(IF(ROUND($G34/12,2)=0,"",ROUND($G34/12,2))+S35,"")</f>
        <v/>
      </c>
      <c r="V35" s="504" t="str">
        <f t="shared" ref="V35" si="434">IFERROR(IF(ROUND($H34/12,2)=0,"",ROUND($H34/12,2))+T35,"")</f>
        <v/>
      </c>
      <c r="W35" s="501" t="str">
        <f t="shared" ref="W35" si="435">IFERROR(IF(ROUND($G34/12,2)=0,"",ROUND($G34/12,2))+U35,"")</f>
        <v/>
      </c>
      <c r="X35" s="505" t="str">
        <f t="shared" ref="X35" si="436">IFERROR(IF(ROUND($H34/12,2)=0,"",ROUND($H34/12,2))+V35,"")</f>
        <v/>
      </c>
      <c r="Y35" s="500" t="str">
        <f t="shared" ref="Y35" si="437">IFERROR(IF(ROUND($G34/12,2)=0,"",ROUND($G34/12,2))+W35,"")</f>
        <v/>
      </c>
      <c r="Z35" s="504" t="str">
        <f t="shared" ref="Z35" si="438">IFERROR(IF(ROUND($H34/12,2)=0,"",ROUND($H34/12,2))+X35,"")</f>
        <v/>
      </c>
      <c r="AA35" s="501" t="str">
        <f t="shared" ref="AA35" si="439">IFERROR(IF(ROUND($G34/12,2)=0,"",ROUND($G34/12,2))+Y35,"")</f>
        <v/>
      </c>
      <c r="AB35" s="505" t="str">
        <f t="shared" ref="AB35" si="440">IFERROR(IF(ROUND($H34/12,2)=0,"",ROUND($H34/12,2))+Z35,"")</f>
        <v/>
      </c>
      <c r="AC35" s="500" t="str">
        <f t="shared" ref="AC35" si="441">IFERROR(IF(ROUND($G34/12,2)=0,"",ROUND($G34/12,2))+AA35,"")</f>
        <v/>
      </c>
      <c r="AD35" s="504" t="str">
        <f t="shared" ref="AD35" si="442">IFERROR(IF(ROUND($H34/12,2)=0,"",ROUND($H34/12,2))+AB35,"")</f>
        <v/>
      </c>
      <c r="AE35" s="501" t="str">
        <f t="shared" ref="AE35" si="443">IFERROR(IF(ROUND($G34/12,2)=0,"",ROUND($G34/12,2))+AC35,"")</f>
        <v/>
      </c>
      <c r="AF35" s="505" t="str">
        <f t="shared" ref="AF35" si="444">IFERROR(IF(ROUND($H34/12,2)=0,"",ROUND($H34/12,2))+AD35,"")</f>
        <v/>
      </c>
      <c r="AG35" s="500" t="str">
        <f t="shared" ref="AG35" si="445">IFERROR(IF(ROUND($G34/12,2)=0,"",ROUND($G34/12,2))+AE35,"")</f>
        <v/>
      </c>
      <c r="AH35" s="506" t="str">
        <f t="shared" ref="AH35" si="446">IFERROR(IF(ROUND($H34/12,2)=0,"",ROUND($H34/12,2))+AF35,"")</f>
        <v/>
      </c>
      <c r="AI35" s="612"/>
      <c r="AJ35" s="614"/>
      <c r="AK35" s="616"/>
      <c r="AL35" s="618"/>
      <c r="AM35" s="363"/>
    </row>
    <row r="36" spans="1:39" x14ac:dyDescent="0.25">
      <c r="A36" s="578"/>
      <c r="B36" s="580"/>
      <c r="C36" s="582"/>
      <c r="D36" s="584"/>
      <c r="E36" s="574"/>
      <c r="F36" s="572"/>
      <c r="G36" s="574"/>
      <c r="H36" s="576"/>
      <c r="J36" s="287" t="str">
        <f t="shared" ref="J36" si="447">IF(ISBLANK(A36),"",B36)</f>
        <v/>
      </c>
      <c r="K36" s="257"/>
      <c r="L36" s="418"/>
      <c r="M36" s="419"/>
      <c r="N36" s="419"/>
      <c r="O36" s="418"/>
      <c r="P36" s="418"/>
      <c r="Q36" s="419"/>
      <c r="R36" s="419"/>
      <c r="S36" s="418"/>
      <c r="T36" s="418"/>
      <c r="U36" s="419"/>
      <c r="V36" s="419"/>
      <c r="W36" s="418"/>
      <c r="X36" s="418"/>
      <c r="Y36" s="419"/>
      <c r="Z36" s="419"/>
      <c r="AA36" s="418"/>
      <c r="AB36" s="418"/>
      <c r="AC36" s="419"/>
      <c r="AD36" s="419"/>
      <c r="AE36" s="418"/>
      <c r="AF36" s="418"/>
      <c r="AG36" s="419"/>
      <c r="AH36" s="258"/>
      <c r="AI36" s="611">
        <f t="shared" ref="AI36" si="448">SUM(K36,M36,O36,Q36,S36,U36,W36,Y36,AA36,AC36,AE36,AG36)</f>
        <v>0</v>
      </c>
      <c r="AJ36" s="613">
        <f t="shared" ref="AJ36" si="449">SUM(L36,N36,P36,R36,T36,V36,X36,Z36,AB36,AD36,AF36,AH36)</f>
        <v>0</v>
      </c>
      <c r="AK36" s="615">
        <f t="shared" ref="AK36" si="450">IFERROR(AI36/G36,0)</f>
        <v>0</v>
      </c>
      <c r="AL36" s="617">
        <f t="shared" ref="AL36" si="451">IFERROR(AJ36/H36,0)</f>
        <v>0</v>
      </c>
      <c r="AM36" s="363"/>
    </row>
    <row r="37" spans="1:39" ht="15.75" thickBot="1" x14ac:dyDescent="0.3">
      <c r="A37" s="579"/>
      <c r="B37" s="581"/>
      <c r="C37" s="583"/>
      <c r="D37" s="585"/>
      <c r="E37" s="575"/>
      <c r="F37" s="573"/>
      <c r="G37" s="575"/>
      <c r="H37" s="577"/>
      <c r="J37" s="391" t="s">
        <v>206</v>
      </c>
      <c r="K37" s="502" t="str">
        <f t="shared" ref="K37" si="452">IF(ROUND($G36/12,2)=0,"",ROUND($G36/12,2))</f>
        <v/>
      </c>
      <c r="L37" s="503" t="str">
        <f t="shared" ref="L37" si="453">IF(ROUND($H36/12,2)=0,"",ROUND($H36/12,2))</f>
        <v/>
      </c>
      <c r="M37" s="500" t="str">
        <f t="shared" ref="M37" si="454">IFERROR(IF(ROUND($G36/12,2)=0,"",ROUND($G36/12,2))+K37,"")</f>
        <v/>
      </c>
      <c r="N37" s="504" t="str">
        <f t="shared" ref="N37" si="455">IFERROR(IF(ROUND($H36/12,2)=0,"",ROUND($H36/12,2))+L37,"")</f>
        <v/>
      </c>
      <c r="O37" s="501" t="str">
        <f t="shared" ref="O37" si="456">IFERROR(IF(ROUND($G36/12,2)=0,"",ROUND($G36/12,2))+M37,"")</f>
        <v/>
      </c>
      <c r="P37" s="505" t="str">
        <f t="shared" ref="P37" si="457">IFERROR(IF(ROUND($H36/12,2)=0,"",ROUND($H36/12,2))+N37,"")</f>
        <v/>
      </c>
      <c r="Q37" s="500" t="str">
        <f t="shared" ref="Q37" si="458">IFERROR(IF(ROUND($G36/12,2)=0,"",ROUND($G36/12,2))+O37,"")</f>
        <v/>
      </c>
      <c r="R37" s="504" t="str">
        <f t="shared" ref="R37" si="459">IFERROR(IF(ROUND($H36/12,2)=0,"",ROUND($H36/12,2))+P37,"")</f>
        <v/>
      </c>
      <c r="S37" s="501" t="str">
        <f t="shared" ref="S37" si="460">IFERROR(IF(ROUND($G36/12,2)=0,"",ROUND($G36/12,2))+Q37,"")</f>
        <v/>
      </c>
      <c r="T37" s="505" t="str">
        <f t="shared" ref="T37" si="461">IFERROR(IF(ROUND($H36/12,2)=0,"",ROUND($H36/12,2))+R37,"")</f>
        <v/>
      </c>
      <c r="U37" s="500" t="str">
        <f t="shared" ref="U37" si="462">IFERROR(IF(ROUND($G36/12,2)=0,"",ROUND($G36/12,2))+S37,"")</f>
        <v/>
      </c>
      <c r="V37" s="504" t="str">
        <f t="shared" ref="V37" si="463">IFERROR(IF(ROUND($H36/12,2)=0,"",ROUND($H36/12,2))+T37,"")</f>
        <v/>
      </c>
      <c r="W37" s="501" t="str">
        <f t="shared" ref="W37" si="464">IFERROR(IF(ROUND($G36/12,2)=0,"",ROUND($G36/12,2))+U37,"")</f>
        <v/>
      </c>
      <c r="X37" s="505" t="str">
        <f t="shared" ref="X37" si="465">IFERROR(IF(ROUND($H36/12,2)=0,"",ROUND($H36/12,2))+V37,"")</f>
        <v/>
      </c>
      <c r="Y37" s="500" t="str">
        <f t="shared" ref="Y37" si="466">IFERROR(IF(ROUND($G36/12,2)=0,"",ROUND($G36/12,2))+W37,"")</f>
        <v/>
      </c>
      <c r="Z37" s="504" t="str">
        <f t="shared" ref="Z37" si="467">IFERROR(IF(ROUND($H36/12,2)=0,"",ROUND($H36/12,2))+X37,"")</f>
        <v/>
      </c>
      <c r="AA37" s="501" t="str">
        <f t="shared" ref="AA37" si="468">IFERROR(IF(ROUND($G36/12,2)=0,"",ROUND($G36/12,2))+Y37,"")</f>
        <v/>
      </c>
      <c r="AB37" s="505" t="str">
        <f t="shared" ref="AB37" si="469">IFERROR(IF(ROUND($H36/12,2)=0,"",ROUND($H36/12,2))+Z37,"")</f>
        <v/>
      </c>
      <c r="AC37" s="500" t="str">
        <f t="shared" ref="AC37" si="470">IFERROR(IF(ROUND($G36/12,2)=0,"",ROUND($G36/12,2))+AA37,"")</f>
        <v/>
      </c>
      <c r="AD37" s="504" t="str">
        <f t="shared" ref="AD37" si="471">IFERROR(IF(ROUND($H36/12,2)=0,"",ROUND($H36/12,2))+AB37,"")</f>
        <v/>
      </c>
      <c r="AE37" s="501" t="str">
        <f t="shared" ref="AE37" si="472">IFERROR(IF(ROUND($G36/12,2)=0,"",ROUND($G36/12,2))+AC37,"")</f>
        <v/>
      </c>
      <c r="AF37" s="505" t="str">
        <f t="shared" ref="AF37" si="473">IFERROR(IF(ROUND($H36/12,2)=0,"",ROUND($H36/12,2))+AD37,"")</f>
        <v/>
      </c>
      <c r="AG37" s="500" t="str">
        <f t="shared" ref="AG37" si="474">IFERROR(IF(ROUND($G36/12,2)=0,"",ROUND($G36/12,2))+AE37,"")</f>
        <v/>
      </c>
      <c r="AH37" s="506" t="str">
        <f t="shared" ref="AH37" si="475">IFERROR(IF(ROUND($H36/12,2)=0,"",ROUND($H36/12,2))+AF37,"")</f>
        <v/>
      </c>
      <c r="AI37" s="612"/>
      <c r="AJ37" s="614"/>
      <c r="AK37" s="616"/>
      <c r="AL37" s="618"/>
      <c r="AM37" s="363"/>
    </row>
    <row r="38" spans="1:39" x14ac:dyDescent="0.25">
      <c r="A38" s="578"/>
      <c r="B38" s="580"/>
      <c r="C38" s="582"/>
      <c r="D38" s="584"/>
      <c r="E38" s="574"/>
      <c r="F38" s="572"/>
      <c r="G38" s="574"/>
      <c r="H38" s="576"/>
      <c r="J38" s="287" t="str">
        <f t="shared" ref="J38" si="476">IF(ISBLANK(A38),"",B38)</f>
        <v/>
      </c>
      <c r="K38" s="257"/>
      <c r="L38" s="418"/>
      <c r="M38" s="419"/>
      <c r="N38" s="419"/>
      <c r="O38" s="418"/>
      <c r="P38" s="418"/>
      <c r="Q38" s="419"/>
      <c r="R38" s="419"/>
      <c r="S38" s="418"/>
      <c r="T38" s="418"/>
      <c r="U38" s="419"/>
      <c r="V38" s="419"/>
      <c r="W38" s="418"/>
      <c r="X38" s="418"/>
      <c r="Y38" s="419"/>
      <c r="Z38" s="419"/>
      <c r="AA38" s="418"/>
      <c r="AB38" s="418"/>
      <c r="AC38" s="419"/>
      <c r="AD38" s="419"/>
      <c r="AE38" s="418"/>
      <c r="AF38" s="418"/>
      <c r="AG38" s="419"/>
      <c r="AH38" s="258"/>
      <c r="AI38" s="611">
        <f t="shared" ref="AI38" si="477">SUM(K38,M38,O38,Q38,S38,U38,W38,Y38,AA38,AC38,AE38,AG38)</f>
        <v>0</v>
      </c>
      <c r="AJ38" s="613">
        <f t="shared" ref="AJ38" si="478">SUM(L38,N38,P38,R38,T38,V38,X38,Z38,AB38,AD38,AF38,AH38)</f>
        <v>0</v>
      </c>
      <c r="AK38" s="615">
        <f t="shared" ref="AK38" si="479">IFERROR(AI38/G38,0)</f>
        <v>0</v>
      </c>
      <c r="AL38" s="617">
        <f t="shared" ref="AL38" si="480">IFERROR(AJ38/H38,0)</f>
        <v>0</v>
      </c>
      <c r="AM38" s="363"/>
    </row>
    <row r="39" spans="1:39" ht="15.75" thickBot="1" x14ac:dyDescent="0.3">
      <c r="A39" s="579"/>
      <c r="B39" s="581"/>
      <c r="C39" s="583"/>
      <c r="D39" s="585"/>
      <c r="E39" s="575"/>
      <c r="F39" s="573"/>
      <c r="G39" s="575"/>
      <c r="H39" s="577"/>
      <c r="J39" s="391" t="s">
        <v>206</v>
      </c>
      <c r="K39" s="502" t="str">
        <f t="shared" ref="K39" si="481">IF(ROUND($G38/12,2)=0,"",ROUND($G38/12,2))</f>
        <v/>
      </c>
      <c r="L39" s="503" t="str">
        <f t="shared" ref="L39" si="482">IF(ROUND($H38/12,2)=0,"",ROUND($H38/12,2))</f>
        <v/>
      </c>
      <c r="M39" s="500" t="str">
        <f t="shared" ref="M39" si="483">IFERROR(IF(ROUND($G38/12,2)=0,"",ROUND($G38/12,2))+K39,"")</f>
        <v/>
      </c>
      <c r="N39" s="504" t="str">
        <f t="shared" ref="N39" si="484">IFERROR(IF(ROUND($H38/12,2)=0,"",ROUND($H38/12,2))+L39,"")</f>
        <v/>
      </c>
      <c r="O39" s="501" t="str">
        <f t="shared" ref="O39" si="485">IFERROR(IF(ROUND($G38/12,2)=0,"",ROUND($G38/12,2))+M39,"")</f>
        <v/>
      </c>
      <c r="P39" s="505" t="str">
        <f t="shared" ref="P39" si="486">IFERROR(IF(ROUND($H38/12,2)=0,"",ROUND($H38/12,2))+N39,"")</f>
        <v/>
      </c>
      <c r="Q39" s="500" t="str">
        <f t="shared" ref="Q39" si="487">IFERROR(IF(ROUND($G38/12,2)=0,"",ROUND($G38/12,2))+O39,"")</f>
        <v/>
      </c>
      <c r="R39" s="504" t="str">
        <f t="shared" ref="R39" si="488">IFERROR(IF(ROUND($H38/12,2)=0,"",ROUND($H38/12,2))+P39,"")</f>
        <v/>
      </c>
      <c r="S39" s="501" t="str">
        <f t="shared" ref="S39" si="489">IFERROR(IF(ROUND($G38/12,2)=0,"",ROUND($G38/12,2))+Q39,"")</f>
        <v/>
      </c>
      <c r="T39" s="505" t="str">
        <f t="shared" ref="T39" si="490">IFERROR(IF(ROUND($H38/12,2)=0,"",ROUND($H38/12,2))+R39,"")</f>
        <v/>
      </c>
      <c r="U39" s="500" t="str">
        <f t="shared" ref="U39" si="491">IFERROR(IF(ROUND($G38/12,2)=0,"",ROUND($G38/12,2))+S39,"")</f>
        <v/>
      </c>
      <c r="V39" s="504" t="str">
        <f t="shared" ref="V39" si="492">IFERROR(IF(ROUND($H38/12,2)=0,"",ROUND($H38/12,2))+T39,"")</f>
        <v/>
      </c>
      <c r="W39" s="501" t="str">
        <f t="shared" ref="W39" si="493">IFERROR(IF(ROUND($G38/12,2)=0,"",ROUND($G38/12,2))+U39,"")</f>
        <v/>
      </c>
      <c r="X39" s="505" t="str">
        <f t="shared" ref="X39" si="494">IFERROR(IF(ROUND($H38/12,2)=0,"",ROUND($H38/12,2))+V39,"")</f>
        <v/>
      </c>
      <c r="Y39" s="500" t="str">
        <f t="shared" ref="Y39" si="495">IFERROR(IF(ROUND($G38/12,2)=0,"",ROUND($G38/12,2))+W39,"")</f>
        <v/>
      </c>
      <c r="Z39" s="504" t="str">
        <f t="shared" ref="Z39" si="496">IFERROR(IF(ROUND($H38/12,2)=0,"",ROUND($H38/12,2))+X39,"")</f>
        <v/>
      </c>
      <c r="AA39" s="501" t="str">
        <f t="shared" ref="AA39" si="497">IFERROR(IF(ROUND($G38/12,2)=0,"",ROUND($G38/12,2))+Y39,"")</f>
        <v/>
      </c>
      <c r="AB39" s="505" t="str">
        <f t="shared" ref="AB39" si="498">IFERROR(IF(ROUND($H38/12,2)=0,"",ROUND($H38/12,2))+Z39,"")</f>
        <v/>
      </c>
      <c r="AC39" s="500" t="str">
        <f t="shared" ref="AC39" si="499">IFERROR(IF(ROUND($G38/12,2)=0,"",ROUND($G38/12,2))+AA39,"")</f>
        <v/>
      </c>
      <c r="AD39" s="504" t="str">
        <f t="shared" ref="AD39" si="500">IFERROR(IF(ROUND($H38/12,2)=0,"",ROUND($H38/12,2))+AB39,"")</f>
        <v/>
      </c>
      <c r="AE39" s="501" t="str">
        <f t="shared" ref="AE39" si="501">IFERROR(IF(ROUND($G38/12,2)=0,"",ROUND($G38/12,2))+AC39,"")</f>
        <v/>
      </c>
      <c r="AF39" s="505" t="str">
        <f t="shared" ref="AF39" si="502">IFERROR(IF(ROUND($H38/12,2)=0,"",ROUND($H38/12,2))+AD39,"")</f>
        <v/>
      </c>
      <c r="AG39" s="500" t="str">
        <f t="shared" ref="AG39" si="503">IFERROR(IF(ROUND($G38/12,2)=0,"",ROUND($G38/12,2))+AE39,"")</f>
        <v/>
      </c>
      <c r="AH39" s="506" t="str">
        <f t="shared" ref="AH39" si="504">IFERROR(IF(ROUND($H38/12,2)=0,"",ROUND($H38/12,2))+AF39,"")</f>
        <v/>
      </c>
      <c r="AI39" s="612"/>
      <c r="AJ39" s="614"/>
      <c r="AK39" s="616"/>
      <c r="AL39" s="618"/>
      <c r="AM39" s="363"/>
    </row>
    <row r="40" spans="1:39" x14ac:dyDescent="0.25">
      <c r="A40" s="578"/>
      <c r="B40" s="580"/>
      <c r="C40" s="582"/>
      <c r="D40" s="584"/>
      <c r="E40" s="574"/>
      <c r="F40" s="572"/>
      <c r="G40" s="574"/>
      <c r="H40" s="576"/>
      <c r="J40" s="287" t="str">
        <f t="shared" ref="J40" si="505">IF(ISBLANK(A40),"",B40)</f>
        <v/>
      </c>
      <c r="K40" s="257"/>
      <c r="L40" s="418"/>
      <c r="M40" s="419"/>
      <c r="N40" s="419"/>
      <c r="O40" s="418"/>
      <c r="P40" s="418"/>
      <c r="Q40" s="419"/>
      <c r="R40" s="419"/>
      <c r="S40" s="418"/>
      <c r="T40" s="418"/>
      <c r="U40" s="419"/>
      <c r="V40" s="419"/>
      <c r="W40" s="418"/>
      <c r="X40" s="418"/>
      <c r="Y40" s="419"/>
      <c r="Z40" s="419"/>
      <c r="AA40" s="418"/>
      <c r="AB40" s="418"/>
      <c r="AC40" s="419"/>
      <c r="AD40" s="419"/>
      <c r="AE40" s="418"/>
      <c r="AF40" s="418"/>
      <c r="AG40" s="419"/>
      <c r="AH40" s="258"/>
      <c r="AI40" s="611">
        <f t="shared" ref="AI40" si="506">SUM(K40,M40,O40,Q40,S40,U40,W40,Y40,AA40,AC40,AE40,AG40)</f>
        <v>0</v>
      </c>
      <c r="AJ40" s="613">
        <f t="shared" ref="AJ40" si="507">SUM(L40,N40,P40,R40,T40,V40,X40,Z40,AB40,AD40,AF40,AH40)</f>
        <v>0</v>
      </c>
      <c r="AK40" s="615">
        <f t="shared" ref="AK40" si="508">IFERROR(AI40/G40,0)</f>
        <v>0</v>
      </c>
      <c r="AL40" s="617">
        <f t="shared" ref="AL40" si="509">IFERROR(AJ40/H40,0)</f>
        <v>0</v>
      </c>
      <c r="AM40" s="363"/>
    </row>
    <row r="41" spans="1:39" ht="15.75" thickBot="1" x14ac:dyDescent="0.3">
      <c r="A41" s="579"/>
      <c r="B41" s="581"/>
      <c r="C41" s="583"/>
      <c r="D41" s="585"/>
      <c r="E41" s="575"/>
      <c r="F41" s="573"/>
      <c r="G41" s="575"/>
      <c r="H41" s="577"/>
      <c r="J41" s="391" t="s">
        <v>206</v>
      </c>
      <c r="K41" s="502" t="str">
        <f t="shared" ref="K41" si="510">IF(ROUND($G40/12,2)=0,"",ROUND($G40/12,2))</f>
        <v/>
      </c>
      <c r="L41" s="503" t="str">
        <f t="shared" ref="L41" si="511">IF(ROUND($H40/12,2)=0,"",ROUND($H40/12,2))</f>
        <v/>
      </c>
      <c r="M41" s="500" t="str">
        <f t="shared" ref="M41" si="512">IFERROR(IF(ROUND($G40/12,2)=0,"",ROUND($G40/12,2))+K41,"")</f>
        <v/>
      </c>
      <c r="N41" s="504" t="str">
        <f t="shared" ref="N41" si="513">IFERROR(IF(ROUND($H40/12,2)=0,"",ROUND($H40/12,2))+L41,"")</f>
        <v/>
      </c>
      <c r="O41" s="501" t="str">
        <f t="shared" ref="O41" si="514">IFERROR(IF(ROUND($G40/12,2)=0,"",ROUND($G40/12,2))+M41,"")</f>
        <v/>
      </c>
      <c r="P41" s="505" t="str">
        <f t="shared" ref="P41" si="515">IFERROR(IF(ROUND($H40/12,2)=0,"",ROUND($H40/12,2))+N41,"")</f>
        <v/>
      </c>
      <c r="Q41" s="500" t="str">
        <f t="shared" ref="Q41" si="516">IFERROR(IF(ROUND($G40/12,2)=0,"",ROUND($G40/12,2))+O41,"")</f>
        <v/>
      </c>
      <c r="R41" s="504" t="str">
        <f t="shared" ref="R41" si="517">IFERROR(IF(ROUND($H40/12,2)=0,"",ROUND($H40/12,2))+P41,"")</f>
        <v/>
      </c>
      <c r="S41" s="501" t="str">
        <f t="shared" ref="S41" si="518">IFERROR(IF(ROUND($G40/12,2)=0,"",ROUND($G40/12,2))+Q41,"")</f>
        <v/>
      </c>
      <c r="T41" s="505" t="str">
        <f t="shared" ref="T41" si="519">IFERROR(IF(ROUND($H40/12,2)=0,"",ROUND($H40/12,2))+R41,"")</f>
        <v/>
      </c>
      <c r="U41" s="500" t="str">
        <f t="shared" ref="U41" si="520">IFERROR(IF(ROUND($G40/12,2)=0,"",ROUND($G40/12,2))+S41,"")</f>
        <v/>
      </c>
      <c r="V41" s="504" t="str">
        <f t="shared" ref="V41" si="521">IFERROR(IF(ROUND($H40/12,2)=0,"",ROUND($H40/12,2))+T41,"")</f>
        <v/>
      </c>
      <c r="W41" s="501" t="str">
        <f t="shared" ref="W41" si="522">IFERROR(IF(ROUND($G40/12,2)=0,"",ROUND($G40/12,2))+U41,"")</f>
        <v/>
      </c>
      <c r="X41" s="505" t="str">
        <f t="shared" ref="X41" si="523">IFERROR(IF(ROUND($H40/12,2)=0,"",ROUND($H40/12,2))+V41,"")</f>
        <v/>
      </c>
      <c r="Y41" s="500" t="str">
        <f t="shared" ref="Y41" si="524">IFERROR(IF(ROUND($G40/12,2)=0,"",ROUND($G40/12,2))+W41,"")</f>
        <v/>
      </c>
      <c r="Z41" s="504" t="str">
        <f t="shared" ref="Z41" si="525">IFERROR(IF(ROUND($H40/12,2)=0,"",ROUND($H40/12,2))+X41,"")</f>
        <v/>
      </c>
      <c r="AA41" s="501" t="str">
        <f t="shared" ref="AA41" si="526">IFERROR(IF(ROUND($G40/12,2)=0,"",ROUND($G40/12,2))+Y41,"")</f>
        <v/>
      </c>
      <c r="AB41" s="505" t="str">
        <f t="shared" ref="AB41" si="527">IFERROR(IF(ROUND($H40/12,2)=0,"",ROUND($H40/12,2))+Z41,"")</f>
        <v/>
      </c>
      <c r="AC41" s="500" t="str">
        <f t="shared" ref="AC41" si="528">IFERROR(IF(ROUND($G40/12,2)=0,"",ROUND($G40/12,2))+AA41,"")</f>
        <v/>
      </c>
      <c r="AD41" s="504" t="str">
        <f t="shared" ref="AD41" si="529">IFERROR(IF(ROUND($H40/12,2)=0,"",ROUND($H40/12,2))+AB41,"")</f>
        <v/>
      </c>
      <c r="AE41" s="501" t="str">
        <f t="shared" ref="AE41" si="530">IFERROR(IF(ROUND($G40/12,2)=0,"",ROUND($G40/12,2))+AC41,"")</f>
        <v/>
      </c>
      <c r="AF41" s="505" t="str">
        <f t="shared" ref="AF41" si="531">IFERROR(IF(ROUND($H40/12,2)=0,"",ROUND($H40/12,2))+AD41,"")</f>
        <v/>
      </c>
      <c r="AG41" s="500" t="str">
        <f t="shared" ref="AG41" si="532">IFERROR(IF(ROUND($G40/12,2)=0,"",ROUND($G40/12,2))+AE41,"")</f>
        <v/>
      </c>
      <c r="AH41" s="506" t="str">
        <f t="shared" ref="AH41" si="533">IFERROR(IF(ROUND($H40/12,2)=0,"",ROUND($H40/12,2))+AF41,"")</f>
        <v/>
      </c>
      <c r="AI41" s="612"/>
      <c r="AJ41" s="614"/>
      <c r="AK41" s="616"/>
      <c r="AL41" s="618"/>
      <c r="AM41" s="363"/>
    </row>
    <row r="42" spans="1:39" x14ac:dyDescent="0.25">
      <c r="A42" s="578"/>
      <c r="B42" s="580"/>
      <c r="C42" s="582"/>
      <c r="D42" s="584"/>
      <c r="E42" s="574"/>
      <c r="F42" s="572"/>
      <c r="G42" s="574"/>
      <c r="H42" s="576"/>
      <c r="J42" s="287" t="str">
        <f t="shared" ref="J42" si="534">IF(ISBLANK(A42),"",B42)</f>
        <v/>
      </c>
      <c r="K42" s="257"/>
      <c r="L42" s="418"/>
      <c r="M42" s="419"/>
      <c r="N42" s="419"/>
      <c r="O42" s="418"/>
      <c r="P42" s="418"/>
      <c r="Q42" s="419"/>
      <c r="R42" s="419"/>
      <c r="S42" s="418"/>
      <c r="T42" s="418"/>
      <c r="U42" s="419"/>
      <c r="V42" s="419"/>
      <c r="W42" s="418"/>
      <c r="X42" s="418"/>
      <c r="Y42" s="419"/>
      <c r="Z42" s="419"/>
      <c r="AA42" s="418"/>
      <c r="AB42" s="418"/>
      <c r="AC42" s="419"/>
      <c r="AD42" s="419"/>
      <c r="AE42" s="418"/>
      <c r="AF42" s="418"/>
      <c r="AG42" s="419"/>
      <c r="AH42" s="258"/>
      <c r="AI42" s="611">
        <f t="shared" ref="AI42" si="535">SUM(K42,M42,O42,Q42,S42,U42,W42,Y42,AA42,AC42,AE42,AG42)</f>
        <v>0</v>
      </c>
      <c r="AJ42" s="613">
        <f t="shared" ref="AJ42" si="536">SUM(L42,N42,P42,R42,T42,V42,X42,Z42,AB42,AD42,AF42,AH42)</f>
        <v>0</v>
      </c>
      <c r="AK42" s="615">
        <f t="shared" ref="AK42" si="537">IFERROR(AI42/G42,0)</f>
        <v>0</v>
      </c>
      <c r="AL42" s="617">
        <f t="shared" ref="AL42" si="538">IFERROR(AJ42/H42,0)</f>
        <v>0</v>
      </c>
      <c r="AM42" s="363"/>
    </row>
    <row r="43" spans="1:39" ht="15.75" thickBot="1" x14ac:dyDescent="0.3">
      <c r="A43" s="579"/>
      <c r="B43" s="581"/>
      <c r="C43" s="583"/>
      <c r="D43" s="585"/>
      <c r="E43" s="575"/>
      <c r="F43" s="573"/>
      <c r="G43" s="575"/>
      <c r="H43" s="577"/>
      <c r="J43" s="391" t="s">
        <v>206</v>
      </c>
      <c r="K43" s="502" t="str">
        <f t="shared" ref="K43" si="539">IF(ROUND($G42/12,2)=0,"",ROUND($G42/12,2))</f>
        <v/>
      </c>
      <c r="L43" s="503" t="str">
        <f t="shared" ref="L43" si="540">IF(ROUND($H42/12,2)=0,"",ROUND($H42/12,2))</f>
        <v/>
      </c>
      <c r="M43" s="500" t="str">
        <f t="shared" ref="M43" si="541">IFERROR(IF(ROUND($G42/12,2)=0,"",ROUND($G42/12,2))+K43,"")</f>
        <v/>
      </c>
      <c r="N43" s="504" t="str">
        <f t="shared" ref="N43" si="542">IFERROR(IF(ROUND($H42/12,2)=0,"",ROUND($H42/12,2))+L43,"")</f>
        <v/>
      </c>
      <c r="O43" s="501" t="str">
        <f t="shared" ref="O43" si="543">IFERROR(IF(ROUND($G42/12,2)=0,"",ROUND($G42/12,2))+M43,"")</f>
        <v/>
      </c>
      <c r="P43" s="505" t="str">
        <f t="shared" ref="P43" si="544">IFERROR(IF(ROUND($H42/12,2)=0,"",ROUND($H42/12,2))+N43,"")</f>
        <v/>
      </c>
      <c r="Q43" s="500" t="str">
        <f t="shared" ref="Q43" si="545">IFERROR(IF(ROUND($G42/12,2)=0,"",ROUND($G42/12,2))+O43,"")</f>
        <v/>
      </c>
      <c r="R43" s="504" t="str">
        <f t="shared" ref="R43" si="546">IFERROR(IF(ROUND($H42/12,2)=0,"",ROUND($H42/12,2))+P43,"")</f>
        <v/>
      </c>
      <c r="S43" s="501" t="str">
        <f t="shared" ref="S43" si="547">IFERROR(IF(ROUND($G42/12,2)=0,"",ROUND($G42/12,2))+Q43,"")</f>
        <v/>
      </c>
      <c r="T43" s="505" t="str">
        <f t="shared" ref="T43" si="548">IFERROR(IF(ROUND($H42/12,2)=0,"",ROUND($H42/12,2))+R43,"")</f>
        <v/>
      </c>
      <c r="U43" s="500" t="str">
        <f t="shared" ref="U43" si="549">IFERROR(IF(ROUND($G42/12,2)=0,"",ROUND($G42/12,2))+S43,"")</f>
        <v/>
      </c>
      <c r="V43" s="504" t="str">
        <f t="shared" ref="V43" si="550">IFERROR(IF(ROUND($H42/12,2)=0,"",ROUND($H42/12,2))+T43,"")</f>
        <v/>
      </c>
      <c r="W43" s="501" t="str">
        <f t="shared" ref="W43" si="551">IFERROR(IF(ROUND($G42/12,2)=0,"",ROUND($G42/12,2))+U43,"")</f>
        <v/>
      </c>
      <c r="X43" s="505" t="str">
        <f t="shared" ref="X43" si="552">IFERROR(IF(ROUND($H42/12,2)=0,"",ROUND($H42/12,2))+V43,"")</f>
        <v/>
      </c>
      <c r="Y43" s="500" t="str">
        <f t="shared" ref="Y43" si="553">IFERROR(IF(ROUND($G42/12,2)=0,"",ROUND($G42/12,2))+W43,"")</f>
        <v/>
      </c>
      <c r="Z43" s="504" t="str">
        <f t="shared" ref="Z43" si="554">IFERROR(IF(ROUND($H42/12,2)=0,"",ROUND($H42/12,2))+X43,"")</f>
        <v/>
      </c>
      <c r="AA43" s="501" t="str">
        <f t="shared" ref="AA43" si="555">IFERROR(IF(ROUND($G42/12,2)=0,"",ROUND($G42/12,2))+Y43,"")</f>
        <v/>
      </c>
      <c r="AB43" s="505" t="str">
        <f t="shared" ref="AB43" si="556">IFERROR(IF(ROUND($H42/12,2)=0,"",ROUND($H42/12,2))+Z43,"")</f>
        <v/>
      </c>
      <c r="AC43" s="500" t="str">
        <f t="shared" ref="AC43" si="557">IFERROR(IF(ROUND($G42/12,2)=0,"",ROUND($G42/12,2))+AA43,"")</f>
        <v/>
      </c>
      <c r="AD43" s="504" t="str">
        <f t="shared" ref="AD43" si="558">IFERROR(IF(ROUND($H42/12,2)=0,"",ROUND($H42/12,2))+AB43,"")</f>
        <v/>
      </c>
      <c r="AE43" s="501" t="str">
        <f t="shared" ref="AE43" si="559">IFERROR(IF(ROUND($G42/12,2)=0,"",ROUND($G42/12,2))+AC43,"")</f>
        <v/>
      </c>
      <c r="AF43" s="505" t="str">
        <f t="shared" ref="AF43" si="560">IFERROR(IF(ROUND($H42/12,2)=0,"",ROUND($H42/12,2))+AD43,"")</f>
        <v/>
      </c>
      <c r="AG43" s="500" t="str">
        <f t="shared" ref="AG43" si="561">IFERROR(IF(ROUND($G42/12,2)=0,"",ROUND($G42/12,2))+AE43,"")</f>
        <v/>
      </c>
      <c r="AH43" s="506" t="str">
        <f t="shared" ref="AH43" si="562">IFERROR(IF(ROUND($H42/12,2)=0,"",ROUND($H42/12,2))+AF43,"")</f>
        <v/>
      </c>
      <c r="AI43" s="612"/>
      <c r="AJ43" s="614"/>
      <c r="AK43" s="616"/>
      <c r="AL43" s="618"/>
      <c r="AM43" s="363"/>
    </row>
    <row r="44" spans="1:39" x14ac:dyDescent="0.25">
      <c r="A44" s="578"/>
      <c r="B44" s="580"/>
      <c r="C44" s="582"/>
      <c r="D44" s="584"/>
      <c r="E44" s="574"/>
      <c r="F44" s="572"/>
      <c r="G44" s="574"/>
      <c r="H44" s="576"/>
      <c r="J44" s="287" t="str">
        <f t="shared" ref="J44" si="563">IF(ISBLANK(A44),"",B44)</f>
        <v/>
      </c>
      <c r="K44" s="257"/>
      <c r="L44" s="418"/>
      <c r="M44" s="419"/>
      <c r="N44" s="419"/>
      <c r="O44" s="418"/>
      <c r="P44" s="418"/>
      <c r="Q44" s="419"/>
      <c r="R44" s="419"/>
      <c r="S44" s="418"/>
      <c r="T44" s="418"/>
      <c r="U44" s="419"/>
      <c r="V44" s="419"/>
      <c r="W44" s="418"/>
      <c r="X44" s="418"/>
      <c r="Y44" s="419"/>
      <c r="Z44" s="419"/>
      <c r="AA44" s="418"/>
      <c r="AB44" s="418"/>
      <c r="AC44" s="419"/>
      <c r="AD44" s="419"/>
      <c r="AE44" s="418"/>
      <c r="AF44" s="418"/>
      <c r="AG44" s="419"/>
      <c r="AH44" s="258"/>
      <c r="AI44" s="611">
        <f t="shared" ref="AI44" si="564">SUM(K44,M44,O44,Q44,S44,U44,W44,Y44,AA44,AC44,AE44,AG44)</f>
        <v>0</v>
      </c>
      <c r="AJ44" s="613">
        <f t="shared" ref="AJ44" si="565">SUM(L44,N44,P44,R44,T44,V44,X44,Z44,AB44,AD44,AF44,AH44)</f>
        <v>0</v>
      </c>
      <c r="AK44" s="615">
        <f t="shared" ref="AK44" si="566">IFERROR(AI44/G44,0)</f>
        <v>0</v>
      </c>
      <c r="AL44" s="617">
        <f t="shared" ref="AL44" si="567">IFERROR(AJ44/H44,0)</f>
        <v>0</v>
      </c>
      <c r="AM44" s="363"/>
    </row>
    <row r="45" spans="1:39" ht="15.75" thickBot="1" x14ac:dyDescent="0.3">
      <c r="A45" s="579"/>
      <c r="B45" s="581"/>
      <c r="C45" s="583"/>
      <c r="D45" s="585"/>
      <c r="E45" s="575"/>
      <c r="F45" s="573"/>
      <c r="G45" s="575"/>
      <c r="H45" s="577"/>
      <c r="J45" s="391" t="s">
        <v>206</v>
      </c>
      <c r="K45" s="502" t="str">
        <f t="shared" ref="K45" si="568">IF(ROUND($G44/12,2)=0,"",ROUND($G44/12,2))</f>
        <v/>
      </c>
      <c r="L45" s="503" t="str">
        <f t="shared" ref="L45" si="569">IF(ROUND($H44/12,2)=0,"",ROUND($H44/12,2))</f>
        <v/>
      </c>
      <c r="M45" s="500" t="str">
        <f t="shared" ref="M45" si="570">IFERROR(IF(ROUND($G44/12,2)=0,"",ROUND($G44/12,2))+K45,"")</f>
        <v/>
      </c>
      <c r="N45" s="504" t="str">
        <f t="shared" ref="N45" si="571">IFERROR(IF(ROUND($H44/12,2)=0,"",ROUND($H44/12,2))+L45,"")</f>
        <v/>
      </c>
      <c r="O45" s="501" t="str">
        <f t="shared" ref="O45" si="572">IFERROR(IF(ROUND($G44/12,2)=0,"",ROUND($G44/12,2))+M45,"")</f>
        <v/>
      </c>
      <c r="P45" s="505" t="str">
        <f t="shared" ref="P45" si="573">IFERROR(IF(ROUND($H44/12,2)=0,"",ROUND($H44/12,2))+N45,"")</f>
        <v/>
      </c>
      <c r="Q45" s="500" t="str">
        <f t="shared" ref="Q45" si="574">IFERROR(IF(ROUND($G44/12,2)=0,"",ROUND($G44/12,2))+O45,"")</f>
        <v/>
      </c>
      <c r="R45" s="504" t="str">
        <f t="shared" ref="R45" si="575">IFERROR(IF(ROUND($H44/12,2)=0,"",ROUND($H44/12,2))+P45,"")</f>
        <v/>
      </c>
      <c r="S45" s="501" t="str">
        <f t="shared" ref="S45" si="576">IFERROR(IF(ROUND($G44/12,2)=0,"",ROUND($G44/12,2))+Q45,"")</f>
        <v/>
      </c>
      <c r="T45" s="505" t="str">
        <f t="shared" ref="T45" si="577">IFERROR(IF(ROUND($H44/12,2)=0,"",ROUND($H44/12,2))+R45,"")</f>
        <v/>
      </c>
      <c r="U45" s="500" t="str">
        <f t="shared" ref="U45" si="578">IFERROR(IF(ROUND($G44/12,2)=0,"",ROUND($G44/12,2))+S45,"")</f>
        <v/>
      </c>
      <c r="V45" s="504" t="str">
        <f t="shared" ref="V45" si="579">IFERROR(IF(ROUND($H44/12,2)=0,"",ROUND($H44/12,2))+T45,"")</f>
        <v/>
      </c>
      <c r="W45" s="501" t="str">
        <f t="shared" ref="W45" si="580">IFERROR(IF(ROUND($G44/12,2)=0,"",ROUND($G44/12,2))+U45,"")</f>
        <v/>
      </c>
      <c r="X45" s="505" t="str">
        <f t="shared" ref="X45" si="581">IFERROR(IF(ROUND($H44/12,2)=0,"",ROUND($H44/12,2))+V45,"")</f>
        <v/>
      </c>
      <c r="Y45" s="500" t="str">
        <f t="shared" ref="Y45" si="582">IFERROR(IF(ROUND($G44/12,2)=0,"",ROUND($G44/12,2))+W45,"")</f>
        <v/>
      </c>
      <c r="Z45" s="504" t="str">
        <f t="shared" ref="Z45" si="583">IFERROR(IF(ROUND($H44/12,2)=0,"",ROUND($H44/12,2))+X45,"")</f>
        <v/>
      </c>
      <c r="AA45" s="501" t="str">
        <f t="shared" ref="AA45" si="584">IFERROR(IF(ROUND($G44/12,2)=0,"",ROUND($G44/12,2))+Y45,"")</f>
        <v/>
      </c>
      <c r="AB45" s="505" t="str">
        <f t="shared" ref="AB45" si="585">IFERROR(IF(ROUND($H44/12,2)=0,"",ROUND($H44/12,2))+Z45,"")</f>
        <v/>
      </c>
      <c r="AC45" s="500" t="str">
        <f t="shared" ref="AC45" si="586">IFERROR(IF(ROUND($G44/12,2)=0,"",ROUND($G44/12,2))+AA45,"")</f>
        <v/>
      </c>
      <c r="AD45" s="504" t="str">
        <f t="shared" ref="AD45" si="587">IFERROR(IF(ROUND($H44/12,2)=0,"",ROUND($H44/12,2))+AB45,"")</f>
        <v/>
      </c>
      <c r="AE45" s="501" t="str">
        <f t="shared" ref="AE45" si="588">IFERROR(IF(ROUND($G44/12,2)=0,"",ROUND($G44/12,2))+AC45,"")</f>
        <v/>
      </c>
      <c r="AF45" s="505" t="str">
        <f t="shared" ref="AF45" si="589">IFERROR(IF(ROUND($H44/12,2)=0,"",ROUND($H44/12,2))+AD45,"")</f>
        <v/>
      </c>
      <c r="AG45" s="500" t="str">
        <f t="shared" ref="AG45" si="590">IFERROR(IF(ROUND($G44/12,2)=0,"",ROUND($G44/12,2))+AE45,"")</f>
        <v/>
      </c>
      <c r="AH45" s="506" t="str">
        <f t="shared" ref="AH45" si="591">IFERROR(IF(ROUND($H44/12,2)=0,"",ROUND($H44/12,2))+AF45,"")</f>
        <v/>
      </c>
      <c r="AI45" s="612"/>
      <c r="AJ45" s="614"/>
      <c r="AK45" s="616"/>
      <c r="AL45" s="618"/>
      <c r="AM45" s="363"/>
    </row>
    <row r="46" spans="1:39" x14ac:dyDescent="0.25">
      <c r="A46" s="578"/>
      <c r="B46" s="580"/>
      <c r="C46" s="582"/>
      <c r="D46" s="584"/>
      <c r="E46" s="574"/>
      <c r="F46" s="572"/>
      <c r="G46" s="574"/>
      <c r="H46" s="576"/>
      <c r="J46" s="287" t="str">
        <f t="shared" ref="J46" si="592">IF(ISBLANK(A46),"",B46)</f>
        <v/>
      </c>
      <c r="K46" s="257"/>
      <c r="L46" s="418"/>
      <c r="M46" s="419"/>
      <c r="N46" s="419"/>
      <c r="O46" s="418"/>
      <c r="P46" s="418"/>
      <c r="Q46" s="419"/>
      <c r="R46" s="419"/>
      <c r="S46" s="418"/>
      <c r="T46" s="418"/>
      <c r="U46" s="419"/>
      <c r="V46" s="419"/>
      <c r="W46" s="418"/>
      <c r="X46" s="418"/>
      <c r="Y46" s="419"/>
      <c r="Z46" s="419"/>
      <c r="AA46" s="418"/>
      <c r="AB46" s="418"/>
      <c r="AC46" s="419"/>
      <c r="AD46" s="419"/>
      <c r="AE46" s="418"/>
      <c r="AF46" s="418"/>
      <c r="AG46" s="419"/>
      <c r="AH46" s="258"/>
      <c r="AI46" s="611">
        <f t="shared" ref="AI46" si="593">SUM(K46,M46,O46,Q46,S46,U46,W46,Y46,AA46,AC46,AE46,AG46)</f>
        <v>0</v>
      </c>
      <c r="AJ46" s="613">
        <f t="shared" ref="AJ46" si="594">SUM(L46,N46,P46,R46,T46,V46,X46,Z46,AB46,AD46,AF46,AH46)</f>
        <v>0</v>
      </c>
      <c r="AK46" s="615">
        <f t="shared" ref="AK46" si="595">IFERROR(AI46/G46,0)</f>
        <v>0</v>
      </c>
      <c r="AL46" s="617">
        <f t="shared" ref="AL46" si="596">IFERROR(AJ46/H46,0)</f>
        <v>0</v>
      </c>
      <c r="AM46" s="363"/>
    </row>
    <row r="47" spans="1:39" ht="15.75" thickBot="1" x14ac:dyDescent="0.3">
      <c r="A47" s="579"/>
      <c r="B47" s="581"/>
      <c r="C47" s="583"/>
      <c r="D47" s="585"/>
      <c r="E47" s="575"/>
      <c r="F47" s="573"/>
      <c r="G47" s="575"/>
      <c r="H47" s="577"/>
      <c r="J47" s="391" t="s">
        <v>206</v>
      </c>
      <c r="K47" s="502" t="str">
        <f t="shared" ref="K47" si="597">IF(ROUND($G46/12,2)=0,"",ROUND($G46/12,2))</f>
        <v/>
      </c>
      <c r="L47" s="503" t="str">
        <f t="shared" ref="L47" si="598">IF(ROUND($H46/12,2)=0,"",ROUND($H46/12,2))</f>
        <v/>
      </c>
      <c r="M47" s="500" t="str">
        <f t="shared" ref="M47" si="599">IFERROR(IF(ROUND($G46/12,2)=0,"",ROUND($G46/12,2))+K47,"")</f>
        <v/>
      </c>
      <c r="N47" s="504" t="str">
        <f t="shared" ref="N47" si="600">IFERROR(IF(ROUND($H46/12,2)=0,"",ROUND($H46/12,2))+L47,"")</f>
        <v/>
      </c>
      <c r="O47" s="501" t="str">
        <f t="shared" ref="O47" si="601">IFERROR(IF(ROUND($G46/12,2)=0,"",ROUND($G46/12,2))+M47,"")</f>
        <v/>
      </c>
      <c r="P47" s="505" t="str">
        <f t="shared" ref="P47" si="602">IFERROR(IF(ROUND($H46/12,2)=0,"",ROUND($H46/12,2))+N47,"")</f>
        <v/>
      </c>
      <c r="Q47" s="500" t="str">
        <f t="shared" ref="Q47" si="603">IFERROR(IF(ROUND($G46/12,2)=0,"",ROUND($G46/12,2))+O47,"")</f>
        <v/>
      </c>
      <c r="R47" s="504" t="str">
        <f t="shared" ref="R47" si="604">IFERROR(IF(ROUND($H46/12,2)=0,"",ROUND($H46/12,2))+P47,"")</f>
        <v/>
      </c>
      <c r="S47" s="501" t="str">
        <f t="shared" ref="S47" si="605">IFERROR(IF(ROUND($G46/12,2)=0,"",ROUND($G46/12,2))+Q47,"")</f>
        <v/>
      </c>
      <c r="T47" s="505" t="str">
        <f t="shared" ref="T47" si="606">IFERROR(IF(ROUND($H46/12,2)=0,"",ROUND($H46/12,2))+R47,"")</f>
        <v/>
      </c>
      <c r="U47" s="500" t="str">
        <f t="shared" ref="U47" si="607">IFERROR(IF(ROUND($G46/12,2)=0,"",ROUND($G46/12,2))+S47,"")</f>
        <v/>
      </c>
      <c r="V47" s="504" t="str">
        <f t="shared" ref="V47" si="608">IFERROR(IF(ROUND($H46/12,2)=0,"",ROUND($H46/12,2))+T47,"")</f>
        <v/>
      </c>
      <c r="W47" s="501" t="str">
        <f t="shared" ref="W47" si="609">IFERROR(IF(ROUND($G46/12,2)=0,"",ROUND($G46/12,2))+U47,"")</f>
        <v/>
      </c>
      <c r="X47" s="505" t="str">
        <f t="shared" ref="X47" si="610">IFERROR(IF(ROUND($H46/12,2)=0,"",ROUND($H46/12,2))+V47,"")</f>
        <v/>
      </c>
      <c r="Y47" s="500" t="str">
        <f t="shared" ref="Y47" si="611">IFERROR(IF(ROUND($G46/12,2)=0,"",ROUND($G46/12,2))+W47,"")</f>
        <v/>
      </c>
      <c r="Z47" s="504" t="str">
        <f t="shared" ref="Z47" si="612">IFERROR(IF(ROUND($H46/12,2)=0,"",ROUND($H46/12,2))+X47,"")</f>
        <v/>
      </c>
      <c r="AA47" s="501" t="str">
        <f t="shared" ref="AA47" si="613">IFERROR(IF(ROUND($G46/12,2)=0,"",ROUND($G46/12,2))+Y47,"")</f>
        <v/>
      </c>
      <c r="AB47" s="505" t="str">
        <f t="shared" ref="AB47" si="614">IFERROR(IF(ROUND($H46/12,2)=0,"",ROUND($H46/12,2))+Z47,"")</f>
        <v/>
      </c>
      <c r="AC47" s="500" t="str">
        <f t="shared" ref="AC47" si="615">IFERROR(IF(ROUND($G46/12,2)=0,"",ROUND($G46/12,2))+AA47,"")</f>
        <v/>
      </c>
      <c r="AD47" s="504" t="str">
        <f t="shared" ref="AD47" si="616">IFERROR(IF(ROUND($H46/12,2)=0,"",ROUND($H46/12,2))+AB47,"")</f>
        <v/>
      </c>
      <c r="AE47" s="501" t="str">
        <f t="shared" ref="AE47" si="617">IFERROR(IF(ROUND($G46/12,2)=0,"",ROUND($G46/12,2))+AC47,"")</f>
        <v/>
      </c>
      <c r="AF47" s="505" t="str">
        <f t="shared" ref="AF47" si="618">IFERROR(IF(ROUND($H46/12,2)=0,"",ROUND($H46/12,2))+AD47,"")</f>
        <v/>
      </c>
      <c r="AG47" s="500" t="str">
        <f t="shared" ref="AG47" si="619">IFERROR(IF(ROUND($G46/12,2)=0,"",ROUND($G46/12,2))+AE47,"")</f>
        <v/>
      </c>
      <c r="AH47" s="506" t="str">
        <f t="shared" ref="AH47" si="620">IFERROR(IF(ROUND($H46/12,2)=0,"",ROUND($H46/12,2))+AF47,"")</f>
        <v/>
      </c>
      <c r="AI47" s="612"/>
      <c r="AJ47" s="614"/>
      <c r="AK47" s="616"/>
      <c r="AL47" s="618"/>
      <c r="AM47" s="363"/>
    </row>
    <row r="48" spans="1:39" x14ac:dyDescent="0.25">
      <c r="A48" s="578"/>
      <c r="B48" s="580"/>
      <c r="C48" s="582"/>
      <c r="D48" s="584"/>
      <c r="E48" s="574"/>
      <c r="F48" s="572"/>
      <c r="G48" s="574"/>
      <c r="H48" s="576"/>
      <c r="J48" s="287" t="str">
        <f t="shared" ref="J48" si="621">IF(ISBLANK(A48),"",B48)</f>
        <v/>
      </c>
      <c r="K48" s="257"/>
      <c r="L48" s="418"/>
      <c r="M48" s="419"/>
      <c r="N48" s="419"/>
      <c r="O48" s="418"/>
      <c r="P48" s="418"/>
      <c r="Q48" s="419"/>
      <c r="R48" s="419"/>
      <c r="S48" s="418"/>
      <c r="T48" s="418"/>
      <c r="U48" s="419"/>
      <c r="V48" s="419"/>
      <c r="W48" s="418"/>
      <c r="X48" s="418"/>
      <c r="Y48" s="419"/>
      <c r="Z48" s="419"/>
      <c r="AA48" s="418"/>
      <c r="AB48" s="418"/>
      <c r="AC48" s="419"/>
      <c r="AD48" s="419"/>
      <c r="AE48" s="418"/>
      <c r="AF48" s="418"/>
      <c r="AG48" s="419"/>
      <c r="AH48" s="258"/>
      <c r="AI48" s="611">
        <f t="shared" ref="AI48" si="622">SUM(K48,M48,O48,Q48,S48,U48,W48,Y48,AA48,AC48,AE48,AG48)</f>
        <v>0</v>
      </c>
      <c r="AJ48" s="613">
        <f t="shared" ref="AJ48" si="623">SUM(L48,N48,P48,R48,T48,V48,X48,Z48,AB48,AD48,AF48,AH48)</f>
        <v>0</v>
      </c>
      <c r="AK48" s="615">
        <f t="shared" ref="AK48" si="624">IFERROR(AI48/G48,0)</f>
        <v>0</v>
      </c>
      <c r="AL48" s="617">
        <f t="shared" ref="AL48" si="625">IFERROR(AJ48/H48,0)</f>
        <v>0</v>
      </c>
      <c r="AM48" s="363"/>
    </row>
    <row r="49" spans="1:39" ht="15.75" thickBot="1" x14ac:dyDescent="0.3">
      <c r="A49" s="579"/>
      <c r="B49" s="581"/>
      <c r="C49" s="583"/>
      <c r="D49" s="585"/>
      <c r="E49" s="575"/>
      <c r="F49" s="573"/>
      <c r="G49" s="575"/>
      <c r="H49" s="577"/>
      <c r="J49" s="391" t="s">
        <v>206</v>
      </c>
      <c r="K49" s="502" t="str">
        <f t="shared" ref="K49" si="626">IF(ROUND($G48/12,2)=0,"",ROUND($G48/12,2))</f>
        <v/>
      </c>
      <c r="L49" s="503" t="str">
        <f t="shared" ref="L49" si="627">IF(ROUND($H48/12,2)=0,"",ROUND($H48/12,2))</f>
        <v/>
      </c>
      <c r="M49" s="500" t="str">
        <f t="shared" ref="M49" si="628">IFERROR(IF(ROUND($G48/12,2)=0,"",ROUND($G48/12,2))+K49,"")</f>
        <v/>
      </c>
      <c r="N49" s="504" t="str">
        <f t="shared" ref="N49" si="629">IFERROR(IF(ROUND($H48/12,2)=0,"",ROUND($H48/12,2))+L49,"")</f>
        <v/>
      </c>
      <c r="O49" s="501" t="str">
        <f t="shared" ref="O49" si="630">IFERROR(IF(ROUND($G48/12,2)=0,"",ROUND($G48/12,2))+M49,"")</f>
        <v/>
      </c>
      <c r="P49" s="505" t="str">
        <f t="shared" ref="P49" si="631">IFERROR(IF(ROUND($H48/12,2)=0,"",ROUND($H48/12,2))+N49,"")</f>
        <v/>
      </c>
      <c r="Q49" s="500" t="str">
        <f t="shared" ref="Q49" si="632">IFERROR(IF(ROUND($G48/12,2)=0,"",ROUND($G48/12,2))+O49,"")</f>
        <v/>
      </c>
      <c r="R49" s="504" t="str">
        <f t="shared" ref="R49" si="633">IFERROR(IF(ROUND($H48/12,2)=0,"",ROUND($H48/12,2))+P49,"")</f>
        <v/>
      </c>
      <c r="S49" s="501" t="str">
        <f t="shared" ref="S49" si="634">IFERROR(IF(ROUND($G48/12,2)=0,"",ROUND($G48/12,2))+Q49,"")</f>
        <v/>
      </c>
      <c r="T49" s="505" t="str">
        <f t="shared" ref="T49" si="635">IFERROR(IF(ROUND($H48/12,2)=0,"",ROUND($H48/12,2))+R49,"")</f>
        <v/>
      </c>
      <c r="U49" s="500" t="str">
        <f t="shared" ref="U49" si="636">IFERROR(IF(ROUND($G48/12,2)=0,"",ROUND($G48/12,2))+S49,"")</f>
        <v/>
      </c>
      <c r="V49" s="504" t="str">
        <f t="shared" ref="V49" si="637">IFERROR(IF(ROUND($H48/12,2)=0,"",ROUND($H48/12,2))+T49,"")</f>
        <v/>
      </c>
      <c r="W49" s="501" t="str">
        <f t="shared" ref="W49" si="638">IFERROR(IF(ROUND($G48/12,2)=0,"",ROUND($G48/12,2))+U49,"")</f>
        <v/>
      </c>
      <c r="X49" s="505" t="str">
        <f t="shared" ref="X49" si="639">IFERROR(IF(ROUND($H48/12,2)=0,"",ROUND($H48/12,2))+V49,"")</f>
        <v/>
      </c>
      <c r="Y49" s="500" t="str">
        <f t="shared" ref="Y49" si="640">IFERROR(IF(ROUND($G48/12,2)=0,"",ROUND($G48/12,2))+W49,"")</f>
        <v/>
      </c>
      <c r="Z49" s="504" t="str">
        <f t="shared" ref="Z49" si="641">IFERROR(IF(ROUND($H48/12,2)=0,"",ROUND($H48/12,2))+X49,"")</f>
        <v/>
      </c>
      <c r="AA49" s="501" t="str">
        <f t="shared" ref="AA49" si="642">IFERROR(IF(ROUND($G48/12,2)=0,"",ROUND($G48/12,2))+Y49,"")</f>
        <v/>
      </c>
      <c r="AB49" s="505" t="str">
        <f t="shared" ref="AB49" si="643">IFERROR(IF(ROUND($H48/12,2)=0,"",ROUND($H48/12,2))+Z49,"")</f>
        <v/>
      </c>
      <c r="AC49" s="500" t="str">
        <f t="shared" ref="AC49" si="644">IFERROR(IF(ROUND($G48/12,2)=0,"",ROUND($G48/12,2))+AA49,"")</f>
        <v/>
      </c>
      <c r="AD49" s="504" t="str">
        <f t="shared" ref="AD49" si="645">IFERROR(IF(ROUND($H48/12,2)=0,"",ROUND($H48/12,2))+AB49,"")</f>
        <v/>
      </c>
      <c r="AE49" s="501" t="str">
        <f t="shared" ref="AE49" si="646">IFERROR(IF(ROUND($G48/12,2)=0,"",ROUND($G48/12,2))+AC49,"")</f>
        <v/>
      </c>
      <c r="AF49" s="505" t="str">
        <f t="shared" ref="AF49" si="647">IFERROR(IF(ROUND($H48/12,2)=0,"",ROUND($H48/12,2))+AD49,"")</f>
        <v/>
      </c>
      <c r="AG49" s="500" t="str">
        <f t="shared" ref="AG49" si="648">IFERROR(IF(ROUND($G48/12,2)=0,"",ROUND($G48/12,2))+AE49,"")</f>
        <v/>
      </c>
      <c r="AH49" s="506" t="str">
        <f t="shared" ref="AH49" si="649">IFERROR(IF(ROUND($H48/12,2)=0,"",ROUND($H48/12,2))+AF49,"")</f>
        <v/>
      </c>
      <c r="AI49" s="612"/>
      <c r="AJ49" s="614"/>
      <c r="AK49" s="616"/>
      <c r="AL49" s="618"/>
      <c r="AM49" s="363"/>
    </row>
    <row r="50" spans="1:39" x14ac:dyDescent="0.25">
      <c r="A50" s="578"/>
      <c r="B50" s="580"/>
      <c r="C50" s="582"/>
      <c r="D50" s="584"/>
      <c r="E50" s="574"/>
      <c r="F50" s="572"/>
      <c r="G50" s="574"/>
      <c r="H50" s="576"/>
      <c r="J50" s="287" t="str">
        <f t="shared" ref="J50" si="650">IF(ISBLANK(A50),"",B50)</f>
        <v/>
      </c>
      <c r="K50" s="257"/>
      <c r="L50" s="418"/>
      <c r="M50" s="419"/>
      <c r="N50" s="419"/>
      <c r="O50" s="418"/>
      <c r="P50" s="418"/>
      <c r="Q50" s="419"/>
      <c r="R50" s="419"/>
      <c r="S50" s="418"/>
      <c r="T50" s="418"/>
      <c r="U50" s="419"/>
      <c r="V50" s="419"/>
      <c r="W50" s="418"/>
      <c r="X50" s="418"/>
      <c r="Y50" s="419"/>
      <c r="Z50" s="419"/>
      <c r="AA50" s="418"/>
      <c r="AB50" s="418"/>
      <c r="AC50" s="419"/>
      <c r="AD50" s="419"/>
      <c r="AE50" s="418"/>
      <c r="AF50" s="418"/>
      <c r="AG50" s="419"/>
      <c r="AH50" s="258"/>
      <c r="AI50" s="611">
        <f t="shared" ref="AI50" si="651">SUM(K50,M50,O50,Q50,S50,U50,W50,Y50,AA50,AC50,AE50,AG50)</f>
        <v>0</v>
      </c>
      <c r="AJ50" s="613">
        <f t="shared" ref="AJ50" si="652">SUM(L50,N50,P50,R50,T50,V50,X50,Z50,AB50,AD50,AF50,AH50)</f>
        <v>0</v>
      </c>
      <c r="AK50" s="615">
        <f t="shared" ref="AK50" si="653">IFERROR(AI50/G50,0)</f>
        <v>0</v>
      </c>
      <c r="AL50" s="617">
        <f t="shared" ref="AL50" si="654">IFERROR(AJ50/H50,0)</f>
        <v>0</v>
      </c>
      <c r="AM50" s="363"/>
    </row>
    <row r="51" spans="1:39" ht="15.75" thickBot="1" x14ac:dyDescent="0.3">
      <c r="A51" s="579"/>
      <c r="B51" s="581"/>
      <c r="C51" s="583"/>
      <c r="D51" s="585"/>
      <c r="E51" s="575"/>
      <c r="F51" s="573"/>
      <c r="G51" s="575"/>
      <c r="H51" s="577"/>
      <c r="J51" s="391" t="s">
        <v>206</v>
      </c>
      <c r="K51" s="502" t="str">
        <f t="shared" ref="K51" si="655">IF(ROUND($G50/12,2)=0,"",ROUND($G50/12,2))</f>
        <v/>
      </c>
      <c r="L51" s="503" t="str">
        <f t="shared" ref="L51" si="656">IF(ROUND($H50/12,2)=0,"",ROUND($H50/12,2))</f>
        <v/>
      </c>
      <c r="M51" s="500" t="str">
        <f t="shared" ref="M51" si="657">IFERROR(IF(ROUND($G50/12,2)=0,"",ROUND($G50/12,2))+K51,"")</f>
        <v/>
      </c>
      <c r="N51" s="504" t="str">
        <f t="shared" ref="N51" si="658">IFERROR(IF(ROUND($H50/12,2)=0,"",ROUND($H50/12,2))+L51,"")</f>
        <v/>
      </c>
      <c r="O51" s="501" t="str">
        <f t="shared" ref="O51" si="659">IFERROR(IF(ROUND($G50/12,2)=0,"",ROUND($G50/12,2))+M51,"")</f>
        <v/>
      </c>
      <c r="P51" s="505" t="str">
        <f t="shared" ref="P51" si="660">IFERROR(IF(ROUND($H50/12,2)=0,"",ROUND($H50/12,2))+N51,"")</f>
        <v/>
      </c>
      <c r="Q51" s="500" t="str">
        <f t="shared" ref="Q51" si="661">IFERROR(IF(ROUND($G50/12,2)=0,"",ROUND($G50/12,2))+O51,"")</f>
        <v/>
      </c>
      <c r="R51" s="504" t="str">
        <f t="shared" ref="R51" si="662">IFERROR(IF(ROUND($H50/12,2)=0,"",ROUND($H50/12,2))+P51,"")</f>
        <v/>
      </c>
      <c r="S51" s="501" t="str">
        <f t="shared" ref="S51" si="663">IFERROR(IF(ROUND($G50/12,2)=0,"",ROUND($G50/12,2))+Q51,"")</f>
        <v/>
      </c>
      <c r="T51" s="505" t="str">
        <f t="shared" ref="T51" si="664">IFERROR(IF(ROUND($H50/12,2)=0,"",ROUND($H50/12,2))+R51,"")</f>
        <v/>
      </c>
      <c r="U51" s="500" t="str">
        <f t="shared" ref="U51" si="665">IFERROR(IF(ROUND($G50/12,2)=0,"",ROUND($G50/12,2))+S51,"")</f>
        <v/>
      </c>
      <c r="V51" s="504" t="str">
        <f t="shared" ref="V51" si="666">IFERROR(IF(ROUND($H50/12,2)=0,"",ROUND($H50/12,2))+T51,"")</f>
        <v/>
      </c>
      <c r="W51" s="501" t="str">
        <f t="shared" ref="W51" si="667">IFERROR(IF(ROUND($G50/12,2)=0,"",ROUND($G50/12,2))+U51,"")</f>
        <v/>
      </c>
      <c r="X51" s="505" t="str">
        <f t="shared" ref="X51" si="668">IFERROR(IF(ROUND($H50/12,2)=0,"",ROUND($H50/12,2))+V51,"")</f>
        <v/>
      </c>
      <c r="Y51" s="500" t="str">
        <f t="shared" ref="Y51" si="669">IFERROR(IF(ROUND($G50/12,2)=0,"",ROUND($G50/12,2))+W51,"")</f>
        <v/>
      </c>
      <c r="Z51" s="504" t="str">
        <f t="shared" ref="Z51" si="670">IFERROR(IF(ROUND($H50/12,2)=0,"",ROUND($H50/12,2))+X51,"")</f>
        <v/>
      </c>
      <c r="AA51" s="501" t="str">
        <f t="shared" ref="AA51" si="671">IFERROR(IF(ROUND($G50/12,2)=0,"",ROUND($G50/12,2))+Y51,"")</f>
        <v/>
      </c>
      <c r="AB51" s="505" t="str">
        <f t="shared" ref="AB51" si="672">IFERROR(IF(ROUND($H50/12,2)=0,"",ROUND($H50/12,2))+Z51,"")</f>
        <v/>
      </c>
      <c r="AC51" s="500" t="str">
        <f t="shared" ref="AC51" si="673">IFERROR(IF(ROUND($G50/12,2)=0,"",ROUND($G50/12,2))+AA51,"")</f>
        <v/>
      </c>
      <c r="AD51" s="504" t="str">
        <f t="shared" ref="AD51" si="674">IFERROR(IF(ROUND($H50/12,2)=0,"",ROUND($H50/12,2))+AB51,"")</f>
        <v/>
      </c>
      <c r="AE51" s="501" t="str">
        <f t="shared" ref="AE51" si="675">IFERROR(IF(ROUND($G50/12,2)=0,"",ROUND($G50/12,2))+AC51,"")</f>
        <v/>
      </c>
      <c r="AF51" s="505" t="str">
        <f t="shared" ref="AF51" si="676">IFERROR(IF(ROUND($H50/12,2)=0,"",ROUND($H50/12,2))+AD51,"")</f>
        <v/>
      </c>
      <c r="AG51" s="500" t="str">
        <f t="shared" ref="AG51" si="677">IFERROR(IF(ROUND($G50/12,2)=0,"",ROUND($G50/12,2))+AE51,"")</f>
        <v/>
      </c>
      <c r="AH51" s="506" t="str">
        <f t="shared" ref="AH51" si="678">IFERROR(IF(ROUND($H50/12,2)=0,"",ROUND($H50/12,2))+AF51,"")</f>
        <v/>
      </c>
      <c r="AI51" s="612"/>
      <c r="AJ51" s="614"/>
      <c r="AK51" s="616"/>
      <c r="AL51" s="618"/>
      <c r="AM51" s="363"/>
    </row>
    <row r="52" spans="1:39" x14ac:dyDescent="0.25">
      <c r="A52" s="578"/>
      <c r="B52" s="580"/>
      <c r="C52" s="582"/>
      <c r="D52" s="584"/>
      <c r="E52" s="574"/>
      <c r="F52" s="572"/>
      <c r="G52" s="574"/>
      <c r="H52" s="576"/>
      <c r="J52" s="287" t="str">
        <f t="shared" ref="J52" si="679">IF(ISBLANK(A52),"",B52)</f>
        <v/>
      </c>
      <c r="K52" s="257"/>
      <c r="L52" s="418"/>
      <c r="M52" s="419"/>
      <c r="N52" s="419"/>
      <c r="O52" s="418"/>
      <c r="P52" s="418"/>
      <c r="Q52" s="419"/>
      <c r="R52" s="419"/>
      <c r="S52" s="418"/>
      <c r="T52" s="418"/>
      <c r="U52" s="419"/>
      <c r="V52" s="419"/>
      <c r="W52" s="418"/>
      <c r="X52" s="418"/>
      <c r="Y52" s="419"/>
      <c r="Z52" s="419"/>
      <c r="AA52" s="418"/>
      <c r="AB52" s="418"/>
      <c r="AC52" s="419"/>
      <c r="AD52" s="419"/>
      <c r="AE52" s="418"/>
      <c r="AF52" s="418"/>
      <c r="AG52" s="419"/>
      <c r="AH52" s="258"/>
      <c r="AI52" s="611">
        <f t="shared" ref="AI52" si="680">SUM(K52,M52,O52,Q52,S52,U52,W52,Y52,AA52,AC52,AE52,AG52)</f>
        <v>0</v>
      </c>
      <c r="AJ52" s="613">
        <f t="shared" ref="AJ52" si="681">SUM(L52,N52,P52,R52,T52,V52,X52,Z52,AB52,AD52,AF52,AH52)</f>
        <v>0</v>
      </c>
      <c r="AK52" s="615">
        <f t="shared" ref="AK52" si="682">IFERROR(AI52/G52,0)</f>
        <v>0</v>
      </c>
      <c r="AL52" s="617">
        <f t="shared" ref="AL52" si="683">IFERROR(AJ52/H52,0)</f>
        <v>0</v>
      </c>
      <c r="AM52" s="363"/>
    </row>
    <row r="53" spans="1:39" ht="15.75" thickBot="1" x14ac:dyDescent="0.3">
      <c r="A53" s="579"/>
      <c r="B53" s="581"/>
      <c r="C53" s="583"/>
      <c r="D53" s="585"/>
      <c r="E53" s="575"/>
      <c r="F53" s="573"/>
      <c r="G53" s="575"/>
      <c r="H53" s="577"/>
      <c r="J53" s="391" t="s">
        <v>206</v>
      </c>
      <c r="K53" s="502" t="str">
        <f t="shared" ref="K53" si="684">IF(ROUND($G52/12,2)=0,"",ROUND($G52/12,2))</f>
        <v/>
      </c>
      <c r="L53" s="503" t="str">
        <f t="shared" ref="L53" si="685">IF(ROUND($H52/12,2)=0,"",ROUND($H52/12,2))</f>
        <v/>
      </c>
      <c r="M53" s="500" t="str">
        <f t="shared" ref="M53" si="686">IFERROR(IF(ROUND($G52/12,2)=0,"",ROUND($G52/12,2))+K53,"")</f>
        <v/>
      </c>
      <c r="N53" s="504" t="str">
        <f t="shared" ref="N53" si="687">IFERROR(IF(ROUND($H52/12,2)=0,"",ROUND($H52/12,2))+L53,"")</f>
        <v/>
      </c>
      <c r="O53" s="501" t="str">
        <f t="shared" ref="O53" si="688">IFERROR(IF(ROUND($G52/12,2)=0,"",ROUND($G52/12,2))+M53,"")</f>
        <v/>
      </c>
      <c r="P53" s="505" t="str">
        <f t="shared" ref="P53" si="689">IFERROR(IF(ROUND($H52/12,2)=0,"",ROUND($H52/12,2))+N53,"")</f>
        <v/>
      </c>
      <c r="Q53" s="500" t="str">
        <f t="shared" ref="Q53" si="690">IFERROR(IF(ROUND($G52/12,2)=0,"",ROUND($G52/12,2))+O53,"")</f>
        <v/>
      </c>
      <c r="R53" s="504" t="str">
        <f t="shared" ref="R53" si="691">IFERROR(IF(ROUND($H52/12,2)=0,"",ROUND($H52/12,2))+P53,"")</f>
        <v/>
      </c>
      <c r="S53" s="501" t="str">
        <f t="shared" ref="S53" si="692">IFERROR(IF(ROUND($G52/12,2)=0,"",ROUND($G52/12,2))+Q53,"")</f>
        <v/>
      </c>
      <c r="T53" s="505" t="str">
        <f t="shared" ref="T53" si="693">IFERROR(IF(ROUND($H52/12,2)=0,"",ROUND($H52/12,2))+R53,"")</f>
        <v/>
      </c>
      <c r="U53" s="500" t="str">
        <f t="shared" ref="U53" si="694">IFERROR(IF(ROUND($G52/12,2)=0,"",ROUND($G52/12,2))+S53,"")</f>
        <v/>
      </c>
      <c r="V53" s="504" t="str">
        <f t="shared" ref="V53" si="695">IFERROR(IF(ROUND($H52/12,2)=0,"",ROUND($H52/12,2))+T53,"")</f>
        <v/>
      </c>
      <c r="W53" s="501" t="str">
        <f t="shared" ref="W53" si="696">IFERROR(IF(ROUND($G52/12,2)=0,"",ROUND($G52/12,2))+U53,"")</f>
        <v/>
      </c>
      <c r="X53" s="505" t="str">
        <f t="shared" ref="X53" si="697">IFERROR(IF(ROUND($H52/12,2)=0,"",ROUND($H52/12,2))+V53,"")</f>
        <v/>
      </c>
      <c r="Y53" s="500" t="str">
        <f t="shared" ref="Y53" si="698">IFERROR(IF(ROUND($G52/12,2)=0,"",ROUND($G52/12,2))+W53,"")</f>
        <v/>
      </c>
      <c r="Z53" s="504" t="str">
        <f t="shared" ref="Z53" si="699">IFERROR(IF(ROUND($H52/12,2)=0,"",ROUND($H52/12,2))+X53,"")</f>
        <v/>
      </c>
      <c r="AA53" s="501" t="str">
        <f t="shared" ref="AA53" si="700">IFERROR(IF(ROUND($G52/12,2)=0,"",ROUND($G52/12,2))+Y53,"")</f>
        <v/>
      </c>
      <c r="AB53" s="505" t="str">
        <f t="shared" ref="AB53" si="701">IFERROR(IF(ROUND($H52/12,2)=0,"",ROUND($H52/12,2))+Z53,"")</f>
        <v/>
      </c>
      <c r="AC53" s="500" t="str">
        <f t="shared" ref="AC53" si="702">IFERROR(IF(ROUND($G52/12,2)=0,"",ROUND($G52/12,2))+AA53,"")</f>
        <v/>
      </c>
      <c r="AD53" s="504" t="str">
        <f t="shared" ref="AD53" si="703">IFERROR(IF(ROUND($H52/12,2)=0,"",ROUND($H52/12,2))+AB53,"")</f>
        <v/>
      </c>
      <c r="AE53" s="501" t="str">
        <f t="shared" ref="AE53" si="704">IFERROR(IF(ROUND($G52/12,2)=0,"",ROUND($G52/12,2))+AC53,"")</f>
        <v/>
      </c>
      <c r="AF53" s="505" t="str">
        <f t="shared" ref="AF53" si="705">IFERROR(IF(ROUND($H52/12,2)=0,"",ROUND($H52/12,2))+AD53,"")</f>
        <v/>
      </c>
      <c r="AG53" s="500" t="str">
        <f t="shared" ref="AG53" si="706">IFERROR(IF(ROUND($G52/12,2)=0,"",ROUND($G52/12,2))+AE53,"")</f>
        <v/>
      </c>
      <c r="AH53" s="506" t="str">
        <f t="shared" ref="AH53" si="707">IFERROR(IF(ROUND($H52/12,2)=0,"",ROUND($H52/12,2))+AF53,"")</f>
        <v/>
      </c>
      <c r="AI53" s="612"/>
      <c r="AJ53" s="614"/>
      <c r="AK53" s="616"/>
      <c r="AL53" s="618"/>
      <c r="AM53" s="363"/>
    </row>
    <row r="54" spans="1:39" x14ac:dyDescent="0.25">
      <c r="A54" s="578"/>
      <c r="B54" s="580"/>
      <c r="C54" s="582"/>
      <c r="D54" s="584"/>
      <c r="E54" s="574"/>
      <c r="F54" s="572"/>
      <c r="G54" s="574"/>
      <c r="H54" s="576"/>
      <c r="J54" s="287" t="str">
        <f t="shared" ref="J54" si="708">IF(ISBLANK(A54),"",B54)</f>
        <v/>
      </c>
      <c r="K54" s="257"/>
      <c r="L54" s="418"/>
      <c r="M54" s="419"/>
      <c r="N54" s="419"/>
      <c r="O54" s="418"/>
      <c r="P54" s="418"/>
      <c r="Q54" s="419"/>
      <c r="R54" s="419"/>
      <c r="S54" s="418"/>
      <c r="T54" s="418"/>
      <c r="U54" s="419"/>
      <c r="V54" s="419"/>
      <c r="W54" s="418"/>
      <c r="X54" s="418"/>
      <c r="Y54" s="419"/>
      <c r="Z54" s="419"/>
      <c r="AA54" s="418"/>
      <c r="AB54" s="418"/>
      <c r="AC54" s="419"/>
      <c r="AD54" s="419"/>
      <c r="AE54" s="418"/>
      <c r="AF54" s="418"/>
      <c r="AG54" s="419"/>
      <c r="AH54" s="258"/>
      <c r="AI54" s="611">
        <f t="shared" ref="AI54" si="709">SUM(K54,M54,O54,Q54,S54,U54,W54,Y54,AA54,AC54,AE54,AG54)</f>
        <v>0</v>
      </c>
      <c r="AJ54" s="613">
        <f t="shared" ref="AJ54" si="710">SUM(L54,N54,P54,R54,T54,V54,X54,Z54,AB54,AD54,AF54,AH54)</f>
        <v>0</v>
      </c>
      <c r="AK54" s="615">
        <f t="shared" ref="AK54" si="711">IFERROR(AI54/G54,0)</f>
        <v>0</v>
      </c>
      <c r="AL54" s="617">
        <f t="shared" ref="AL54" si="712">IFERROR(AJ54/H54,0)</f>
        <v>0</v>
      </c>
      <c r="AM54" s="363"/>
    </row>
    <row r="55" spans="1:39" ht="15.75" thickBot="1" x14ac:dyDescent="0.3">
      <c r="A55" s="579"/>
      <c r="B55" s="581"/>
      <c r="C55" s="583"/>
      <c r="D55" s="585"/>
      <c r="E55" s="575"/>
      <c r="F55" s="573"/>
      <c r="G55" s="575"/>
      <c r="H55" s="577"/>
      <c r="J55" s="391" t="s">
        <v>206</v>
      </c>
      <c r="K55" s="502" t="str">
        <f t="shared" ref="K55" si="713">IF(ROUND($G54/12,2)=0,"",ROUND($G54/12,2))</f>
        <v/>
      </c>
      <c r="L55" s="503" t="str">
        <f t="shared" ref="L55" si="714">IF(ROUND($H54/12,2)=0,"",ROUND($H54/12,2))</f>
        <v/>
      </c>
      <c r="M55" s="500" t="str">
        <f t="shared" ref="M55" si="715">IFERROR(IF(ROUND($G54/12,2)=0,"",ROUND($G54/12,2))+K55,"")</f>
        <v/>
      </c>
      <c r="N55" s="504" t="str">
        <f t="shared" ref="N55" si="716">IFERROR(IF(ROUND($H54/12,2)=0,"",ROUND($H54/12,2))+L55,"")</f>
        <v/>
      </c>
      <c r="O55" s="501" t="str">
        <f t="shared" ref="O55" si="717">IFERROR(IF(ROUND($G54/12,2)=0,"",ROUND($G54/12,2))+M55,"")</f>
        <v/>
      </c>
      <c r="P55" s="505" t="str">
        <f t="shared" ref="P55" si="718">IFERROR(IF(ROUND($H54/12,2)=0,"",ROUND($H54/12,2))+N55,"")</f>
        <v/>
      </c>
      <c r="Q55" s="500" t="str">
        <f t="shared" ref="Q55" si="719">IFERROR(IF(ROUND($G54/12,2)=0,"",ROUND($G54/12,2))+O55,"")</f>
        <v/>
      </c>
      <c r="R55" s="504" t="str">
        <f t="shared" ref="R55" si="720">IFERROR(IF(ROUND($H54/12,2)=0,"",ROUND($H54/12,2))+P55,"")</f>
        <v/>
      </c>
      <c r="S55" s="501" t="str">
        <f t="shared" ref="S55" si="721">IFERROR(IF(ROUND($G54/12,2)=0,"",ROUND($G54/12,2))+Q55,"")</f>
        <v/>
      </c>
      <c r="T55" s="505" t="str">
        <f t="shared" ref="T55" si="722">IFERROR(IF(ROUND($H54/12,2)=0,"",ROUND($H54/12,2))+R55,"")</f>
        <v/>
      </c>
      <c r="U55" s="500" t="str">
        <f t="shared" ref="U55" si="723">IFERROR(IF(ROUND($G54/12,2)=0,"",ROUND($G54/12,2))+S55,"")</f>
        <v/>
      </c>
      <c r="V55" s="504" t="str">
        <f t="shared" ref="V55" si="724">IFERROR(IF(ROUND($H54/12,2)=0,"",ROUND($H54/12,2))+T55,"")</f>
        <v/>
      </c>
      <c r="W55" s="501" t="str">
        <f t="shared" ref="W55" si="725">IFERROR(IF(ROUND($G54/12,2)=0,"",ROUND($G54/12,2))+U55,"")</f>
        <v/>
      </c>
      <c r="X55" s="505" t="str">
        <f t="shared" ref="X55" si="726">IFERROR(IF(ROUND($H54/12,2)=0,"",ROUND($H54/12,2))+V55,"")</f>
        <v/>
      </c>
      <c r="Y55" s="500" t="str">
        <f t="shared" ref="Y55" si="727">IFERROR(IF(ROUND($G54/12,2)=0,"",ROUND($G54/12,2))+W55,"")</f>
        <v/>
      </c>
      <c r="Z55" s="504" t="str">
        <f t="shared" ref="Z55" si="728">IFERROR(IF(ROUND($H54/12,2)=0,"",ROUND($H54/12,2))+X55,"")</f>
        <v/>
      </c>
      <c r="AA55" s="501" t="str">
        <f t="shared" ref="AA55" si="729">IFERROR(IF(ROUND($G54/12,2)=0,"",ROUND($G54/12,2))+Y55,"")</f>
        <v/>
      </c>
      <c r="AB55" s="505" t="str">
        <f t="shared" ref="AB55" si="730">IFERROR(IF(ROUND($H54/12,2)=0,"",ROUND($H54/12,2))+Z55,"")</f>
        <v/>
      </c>
      <c r="AC55" s="500" t="str">
        <f t="shared" ref="AC55" si="731">IFERROR(IF(ROUND($G54/12,2)=0,"",ROUND($G54/12,2))+AA55,"")</f>
        <v/>
      </c>
      <c r="AD55" s="504" t="str">
        <f t="shared" ref="AD55" si="732">IFERROR(IF(ROUND($H54/12,2)=0,"",ROUND($H54/12,2))+AB55,"")</f>
        <v/>
      </c>
      <c r="AE55" s="501" t="str">
        <f t="shared" ref="AE55" si="733">IFERROR(IF(ROUND($G54/12,2)=0,"",ROUND($G54/12,2))+AC55,"")</f>
        <v/>
      </c>
      <c r="AF55" s="505" t="str">
        <f t="shared" ref="AF55" si="734">IFERROR(IF(ROUND($H54/12,2)=0,"",ROUND($H54/12,2))+AD55,"")</f>
        <v/>
      </c>
      <c r="AG55" s="500" t="str">
        <f t="shared" ref="AG55" si="735">IFERROR(IF(ROUND($G54/12,2)=0,"",ROUND($G54/12,2))+AE55,"")</f>
        <v/>
      </c>
      <c r="AH55" s="506" t="str">
        <f t="shared" ref="AH55" si="736">IFERROR(IF(ROUND($H54/12,2)=0,"",ROUND($H54/12,2))+AF55,"")</f>
        <v/>
      </c>
      <c r="AI55" s="612"/>
      <c r="AJ55" s="614"/>
      <c r="AK55" s="616"/>
      <c r="AL55" s="618"/>
      <c r="AM55" s="363"/>
    </row>
    <row r="56" spans="1:39" x14ac:dyDescent="0.25">
      <c r="A56" s="578"/>
      <c r="B56" s="580"/>
      <c r="C56" s="582"/>
      <c r="D56" s="584"/>
      <c r="E56" s="574"/>
      <c r="F56" s="572"/>
      <c r="G56" s="574"/>
      <c r="H56" s="576"/>
      <c r="J56" s="287" t="str">
        <f t="shared" ref="J56" si="737">IF(ISBLANK(A56),"",B56)</f>
        <v/>
      </c>
      <c r="K56" s="257"/>
      <c r="L56" s="418"/>
      <c r="M56" s="419"/>
      <c r="N56" s="419"/>
      <c r="O56" s="418"/>
      <c r="P56" s="418"/>
      <c r="Q56" s="419"/>
      <c r="R56" s="419"/>
      <c r="S56" s="418"/>
      <c r="T56" s="418"/>
      <c r="U56" s="419"/>
      <c r="V56" s="419"/>
      <c r="W56" s="418"/>
      <c r="X56" s="418"/>
      <c r="Y56" s="419"/>
      <c r="Z56" s="419"/>
      <c r="AA56" s="418"/>
      <c r="AB56" s="418"/>
      <c r="AC56" s="419"/>
      <c r="AD56" s="419"/>
      <c r="AE56" s="418"/>
      <c r="AF56" s="418"/>
      <c r="AG56" s="419"/>
      <c r="AH56" s="258"/>
      <c r="AI56" s="611">
        <f t="shared" ref="AI56" si="738">SUM(K56,M56,O56,Q56,S56,U56,W56,Y56,AA56,AC56,AE56,AG56)</f>
        <v>0</v>
      </c>
      <c r="AJ56" s="613">
        <f t="shared" ref="AJ56" si="739">SUM(L56,N56,P56,R56,T56,V56,X56,Z56,AB56,AD56,AF56,AH56)</f>
        <v>0</v>
      </c>
      <c r="AK56" s="615">
        <f t="shared" ref="AK56" si="740">IFERROR(AI56/G56,0)</f>
        <v>0</v>
      </c>
      <c r="AL56" s="617">
        <f t="shared" ref="AL56" si="741">IFERROR(AJ56/H56,0)</f>
        <v>0</v>
      </c>
      <c r="AM56" s="363"/>
    </row>
    <row r="57" spans="1:39" ht="15.75" thickBot="1" x14ac:dyDescent="0.3">
      <c r="A57" s="579"/>
      <c r="B57" s="581"/>
      <c r="C57" s="583"/>
      <c r="D57" s="585"/>
      <c r="E57" s="575"/>
      <c r="F57" s="573"/>
      <c r="G57" s="575"/>
      <c r="H57" s="577"/>
      <c r="J57" s="391" t="s">
        <v>206</v>
      </c>
      <c r="K57" s="502" t="str">
        <f t="shared" ref="K57" si="742">IF(ROUND($G56/12,2)=0,"",ROUND($G56/12,2))</f>
        <v/>
      </c>
      <c r="L57" s="503" t="str">
        <f t="shared" ref="L57" si="743">IF(ROUND($H56/12,2)=0,"",ROUND($H56/12,2))</f>
        <v/>
      </c>
      <c r="M57" s="500" t="str">
        <f t="shared" ref="M57" si="744">IFERROR(IF(ROUND($G56/12,2)=0,"",ROUND($G56/12,2))+K57,"")</f>
        <v/>
      </c>
      <c r="N57" s="504" t="str">
        <f t="shared" ref="N57" si="745">IFERROR(IF(ROUND($H56/12,2)=0,"",ROUND($H56/12,2))+L57,"")</f>
        <v/>
      </c>
      <c r="O57" s="501" t="str">
        <f t="shared" ref="O57" si="746">IFERROR(IF(ROUND($G56/12,2)=0,"",ROUND($G56/12,2))+M57,"")</f>
        <v/>
      </c>
      <c r="P57" s="505" t="str">
        <f t="shared" ref="P57" si="747">IFERROR(IF(ROUND($H56/12,2)=0,"",ROUND($H56/12,2))+N57,"")</f>
        <v/>
      </c>
      <c r="Q57" s="500" t="str">
        <f t="shared" ref="Q57" si="748">IFERROR(IF(ROUND($G56/12,2)=0,"",ROUND($G56/12,2))+O57,"")</f>
        <v/>
      </c>
      <c r="R57" s="504" t="str">
        <f t="shared" ref="R57" si="749">IFERROR(IF(ROUND($H56/12,2)=0,"",ROUND($H56/12,2))+P57,"")</f>
        <v/>
      </c>
      <c r="S57" s="501" t="str">
        <f t="shared" ref="S57" si="750">IFERROR(IF(ROUND($G56/12,2)=0,"",ROUND($G56/12,2))+Q57,"")</f>
        <v/>
      </c>
      <c r="T57" s="505" t="str">
        <f t="shared" ref="T57" si="751">IFERROR(IF(ROUND($H56/12,2)=0,"",ROUND($H56/12,2))+R57,"")</f>
        <v/>
      </c>
      <c r="U57" s="500" t="str">
        <f t="shared" ref="U57" si="752">IFERROR(IF(ROUND($G56/12,2)=0,"",ROUND($G56/12,2))+S57,"")</f>
        <v/>
      </c>
      <c r="V57" s="504" t="str">
        <f t="shared" ref="V57" si="753">IFERROR(IF(ROUND($H56/12,2)=0,"",ROUND($H56/12,2))+T57,"")</f>
        <v/>
      </c>
      <c r="W57" s="501" t="str">
        <f t="shared" ref="W57" si="754">IFERROR(IF(ROUND($G56/12,2)=0,"",ROUND($G56/12,2))+U57,"")</f>
        <v/>
      </c>
      <c r="X57" s="505" t="str">
        <f t="shared" ref="X57" si="755">IFERROR(IF(ROUND($H56/12,2)=0,"",ROUND($H56/12,2))+V57,"")</f>
        <v/>
      </c>
      <c r="Y57" s="500" t="str">
        <f t="shared" ref="Y57" si="756">IFERROR(IF(ROUND($G56/12,2)=0,"",ROUND($G56/12,2))+W57,"")</f>
        <v/>
      </c>
      <c r="Z57" s="504" t="str">
        <f t="shared" ref="Z57" si="757">IFERROR(IF(ROUND($H56/12,2)=0,"",ROUND($H56/12,2))+X57,"")</f>
        <v/>
      </c>
      <c r="AA57" s="501" t="str">
        <f t="shared" ref="AA57" si="758">IFERROR(IF(ROUND($G56/12,2)=0,"",ROUND($G56/12,2))+Y57,"")</f>
        <v/>
      </c>
      <c r="AB57" s="505" t="str">
        <f t="shared" ref="AB57" si="759">IFERROR(IF(ROUND($H56/12,2)=0,"",ROUND($H56/12,2))+Z57,"")</f>
        <v/>
      </c>
      <c r="AC57" s="500" t="str">
        <f t="shared" ref="AC57" si="760">IFERROR(IF(ROUND($G56/12,2)=0,"",ROUND($G56/12,2))+AA57,"")</f>
        <v/>
      </c>
      <c r="AD57" s="504" t="str">
        <f t="shared" ref="AD57" si="761">IFERROR(IF(ROUND($H56/12,2)=0,"",ROUND($H56/12,2))+AB57,"")</f>
        <v/>
      </c>
      <c r="AE57" s="501" t="str">
        <f t="shared" ref="AE57" si="762">IFERROR(IF(ROUND($G56/12,2)=0,"",ROUND($G56/12,2))+AC57,"")</f>
        <v/>
      </c>
      <c r="AF57" s="505" t="str">
        <f t="shared" ref="AF57" si="763">IFERROR(IF(ROUND($H56/12,2)=0,"",ROUND($H56/12,2))+AD57,"")</f>
        <v/>
      </c>
      <c r="AG57" s="500" t="str">
        <f t="shared" ref="AG57" si="764">IFERROR(IF(ROUND($G56/12,2)=0,"",ROUND($G56/12,2))+AE57,"")</f>
        <v/>
      </c>
      <c r="AH57" s="506" t="str">
        <f t="shared" ref="AH57" si="765">IFERROR(IF(ROUND($H56/12,2)=0,"",ROUND($H56/12,2))+AF57,"")</f>
        <v/>
      </c>
      <c r="AI57" s="612"/>
      <c r="AJ57" s="614"/>
      <c r="AK57" s="616"/>
      <c r="AL57" s="618"/>
      <c r="AM57" s="363"/>
    </row>
    <row r="58" spans="1:39" x14ac:dyDescent="0.25">
      <c r="A58" s="578"/>
      <c r="B58" s="580"/>
      <c r="C58" s="582"/>
      <c r="D58" s="584"/>
      <c r="E58" s="574"/>
      <c r="F58" s="572"/>
      <c r="G58" s="574"/>
      <c r="H58" s="576"/>
      <c r="J58" s="287" t="str">
        <f t="shared" ref="J58" si="766">IF(ISBLANK(A58),"",B58)</f>
        <v/>
      </c>
      <c r="K58" s="257"/>
      <c r="L58" s="418"/>
      <c r="M58" s="419"/>
      <c r="N58" s="419"/>
      <c r="O58" s="418"/>
      <c r="P58" s="418"/>
      <c r="Q58" s="419"/>
      <c r="R58" s="419"/>
      <c r="S58" s="418"/>
      <c r="T58" s="418"/>
      <c r="U58" s="419"/>
      <c r="V58" s="419"/>
      <c r="W58" s="418"/>
      <c r="X58" s="418"/>
      <c r="Y58" s="419"/>
      <c r="Z58" s="419"/>
      <c r="AA58" s="418"/>
      <c r="AB58" s="418"/>
      <c r="AC58" s="419"/>
      <c r="AD58" s="419"/>
      <c r="AE58" s="418"/>
      <c r="AF58" s="418"/>
      <c r="AG58" s="419"/>
      <c r="AH58" s="258"/>
      <c r="AI58" s="611">
        <f t="shared" ref="AI58" si="767">SUM(K58,M58,O58,Q58,S58,U58,W58,Y58,AA58,AC58,AE58,AG58)</f>
        <v>0</v>
      </c>
      <c r="AJ58" s="613">
        <f t="shared" ref="AJ58" si="768">SUM(L58,N58,P58,R58,T58,V58,X58,Z58,AB58,AD58,AF58,AH58)</f>
        <v>0</v>
      </c>
      <c r="AK58" s="615">
        <f t="shared" ref="AK58" si="769">IFERROR(AI58/G58,0)</f>
        <v>0</v>
      </c>
      <c r="AL58" s="617">
        <f t="shared" ref="AL58" si="770">IFERROR(AJ58/H58,0)</f>
        <v>0</v>
      </c>
      <c r="AM58" s="363"/>
    </row>
    <row r="59" spans="1:39" ht="15.75" thickBot="1" x14ac:dyDescent="0.3">
      <c r="A59" s="579"/>
      <c r="B59" s="581"/>
      <c r="C59" s="583"/>
      <c r="D59" s="585"/>
      <c r="E59" s="575"/>
      <c r="F59" s="573"/>
      <c r="G59" s="575"/>
      <c r="H59" s="577"/>
      <c r="J59" s="391" t="s">
        <v>206</v>
      </c>
      <c r="K59" s="502" t="str">
        <f t="shared" ref="K59" si="771">IF(ROUND($G58/12,2)=0,"",ROUND($G58/12,2))</f>
        <v/>
      </c>
      <c r="L59" s="503" t="str">
        <f t="shared" ref="L59" si="772">IF(ROUND($H58/12,2)=0,"",ROUND($H58/12,2))</f>
        <v/>
      </c>
      <c r="M59" s="500" t="str">
        <f t="shared" ref="M59" si="773">IFERROR(IF(ROUND($G58/12,2)=0,"",ROUND($G58/12,2))+K59,"")</f>
        <v/>
      </c>
      <c r="N59" s="504" t="str">
        <f t="shared" ref="N59" si="774">IFERROR(IF(ROUND($H58/12,2)=0,"",ROUND($H58/12,2))+L59,"")</f>
        <v/>
      </c>
      <c r="O59" s="501" t="str">
        <f t="shared" ref="O59" si="775">IFERROR(IF(ROUND($G58/12,2)=0,"",ROUND($G58/12,2))+M59,"")</f>
        <v/>
      </c>
      <c r="P59" s="505" t="str">
        <f t="shared" ref="P59" si="776">IFERROR(IF(ROUND($H58/12,2)=0,"",ROUND($H58/12,2))+N59,"")</f>
        <v/>
      </c>
      <c r="Q59" s="500" t="str">
        <f t="shared" ref="Q59" si="777">IFERROR(IF(ROUND($G58/12,2)=0,"",ROUND($G58/12,2))+O59,"")</f>
        <v/>
      </c>
      <c r="R59" s="504" t="str">
        <f t="shared" ref="R59" si="778">IFERROR(IF(ROUND($H58/12,2)=0,"",ROUND($H58/12,2))+P59,"")</f>
        <v/>
      </c>
      <c r="S59" s="501" t="str">
        <f t="shared" ref="S59" si="779">IFERROR(IF(ROUND($G58/12,2)=0,"",ROUND($G58/12,2))+Q59,"")</f>
        <v/>
      </c>
      <c r="T59" s="505" t="str">
        <f t="shared" ref="T59" si="780">IFERROR(IF(ROUND($H58/12,2)=0,"",ROUND($H58/12,2))+R59,"")</f>
        <v/>
      </c>
      <c r="U59" s="500" t="str">
        <f t="shared" ref="U59" si="781">IFERROR(IF(ROUND($G58/12,2)=0,"",ROUND($G58/12,2))+S59,"")</f>
        <v/>
      </c>
      <c r="V59" s="504" t="str">
        <f t="shared" ref="V59" si="782">IFERROR(IF(ROUND($H58/12,2)=0,"",ROUND($H58/12,2))+T59,"")</f>
        <v/>
      </c>
      <c r="W59" s="501" t="str">
        <f t="shared" ref="W59" si="783">IFERROR(IF(ROUND($G58/12,2)=0,"",ROUND($G58/12,2))+U59,"")</f>
        <v/>
      </c>
      <c r="X59" s="505" t="str">
        <f t="shared" ref="X59" si="784">IFERROR(IF(ROUND($H58/12,2)=0,"",ROUND($H58/12,2))+V59,"")</f>
        <v/>
      </c>
      <c r="Y59" s="500" t="str">
        <f t="shared" ref="Y59" si="785">IFERROR(IF(ROUND($G58/12,2)=0,"",ROUND($G58/12,2))+W59,"")</f>
        <v/>
      </c>
      <c r="Z59" s="504" t="str">
        <f t="shared" ref="Z59" si="786">IFERROR(IF(ROUND($H58/12,2)=0,"",ROUND($H58/12,2))+X59,"")</f>
        <v/>
      </c>
      <c r="AA59" s="501" t="str">
        <f t="shared" ref="AA59" si="787">IFERROR(IF(ROUND($G58/12,2)=0,"",ROUND($G58/12,2))+Y59,"")</f>
        <v/>
      </c>
      <c r="AB59" s="505" t="str">
        <f t="shared" ref="AB59" si="788">IFERROR(IF(ROUND($H58/12,2)=0,"",ROUND($H58/12,2))+Z59,"")</f>
        <v/>
      </c>
      <c r="AC59" s="500" t="str">
        <f t="shared" ref="AC59" si="789">IFERROR(IF(ROUND($G58/12,2)=0,"",ROUND($G58/12,2))+AA59,"")</f>
        <v/>
      </c>
      <c r="AD59" s="504" t="str">
        <f t="shared" ref="AD59" si="790">IFERROR(IF(ROUND($H58/12,2)=0,"",ROUND($H58/12,2))+AB59,"")</f>
        <v/>
      </c>
      <c r="AE59" s="501" t="str">
        <f t="shared" ref="AE59" si="791">IFERROR(IF(ROUND($G58/12,2)=0,"",ROUND($G58/12,2))+AC59,"")</f>
        <v/>
      </c>
      <c r="AF59" s="505" t="str">
        <f t="shared" ref="AF59" si="792">IFERROR(IF(ROUND($H58/12,2)=0,"",ROUND($H58/12,2))+AD59,"")</f>
        <v/>
      </c>
      <c r="AG59" s="500" t="str">
        <f t="shared" ref="AG59" si="793">IFERROR(IF(ROUND($G58/12,2)=0,"",ROUND($G58/12,2))+AE59,"")</f>
        <v/>
      </c>
      <c r="AH59" s="506" t="str">
        <f t="shared" ref="AH59" si="794">IFERROR(IF(ROUND($H58/12,2)=0,"",ROUND($H58/12,2))+AF59,"")</f>
        <v/>
      </c>
      <c r="AI59" s="612"/>
      <c r="AJ59" s="614"/>
      <c r="AK59" s="616"/>
      <c r="AL59" s="618"/>
      <c r="AM59" s="363"/>
    </row>
    <row r="60" spans="1:39" x14ac:dyDescent="0.25">
      <c r="A60" s="578"/>
      <c r="B60" s="580"/>
      <c r="C60" s="582"/>
      <c r="D60" s="584"/>
      <c r="E60" s="574"/>
      <c r="F60" s="572"/>
      <c r="G60" s="574"/>
      <c r="H60" s="576"/>
      <c r="J60" s="287" t="str">
        <f t="shared" ref="J60" si="795">IF(ISBLANK(A60),"",B60)</f>
        <v/>
      </c>
      <c r="K60" s="257"/>
      <c r="L60" s="418"/>
      <c r="M60" s="419"/>
      <c r="N60" s="419"/>
      <c r="O60" s="418"/>
      <c r="P60" s="418"/>
      <c r="Q60" s="419"/>
      <c r="R60" s="419"/>
      <c r="S60" s="418"/>
      <c r="T60" s="418"/>
      <c r="U60" s="419"/>
      <c r="V60" s="419"/>
      <c r="W60" s="418"/>
      <c r="X60" s="418"/>
      <c r="Y60" s="419"/>
      <c r="Z60" s="419"/>
      <c r="AA60" s="418"/>
      <c r="AB60" s="418"/>
      <c r="AC60" s="419"/>
      <c r="AD60" s="419"/>
      <c r="AE60" s="418"/>
      <c r="AF60" s="418"/>
      <c r="AG60" s="419"/>
      <c r="AH60" s="258"/>
      <c r="AI60" s="611">
        <f t="shared" ref="AI60" si="796">SUM(K60,M60,O60,Q60,S60,U60,W60,Y60,AA60,AC60,AE60,AG60)</f>
        <v>0</v>
      </c>
      <c r="AJ60" s="613">
        <f t="shared" ref="AJ60" si="797">SUM(L60,N60,P60,R60,T60,V60,X60,Z60,AB60,AD60,AF60,AH60)</f>
        <v>0</v>
      </c>
      <c r="AK60" s="615">
        <f t="shared" ref="AK60" si="798">IFERROR(AI60/G60,0)</f>
        <v>0</v>
      </c>
      <c r="AL60" s="617">
        <f t="shared" ref="AL60" si="799">IFERROR(AJ60/H60,0)</f>
        <v>0</v>
      </c>
      <c r="AM60" s="363"/>
    </row>
    <row r="61" spans="1:39" ht="15.75" thickBot="1" x14ac:dyDescent="0.3">
      <c r="A61" s="579"/>
      <c r="B61" s="581"/>
      <c r="C61" s="583"/>
      <c r="D61" s="585"/>
      <c r="E61" s="575"/>
      <c r="F61" s="573"/>
      <c r="G61" s="575"/>
      <c r="H61" s="577"/>
      <c r="J61" s="391" t="s">
        <v>206</v>
      </c>
      <c r="K61" s="502" t="str">
        <f t="shared" ref="K61" si="800">IF(ROUND($G60/12,2)=0,"",ROUND($G60/12,2))</f>
        <v/>
      </c>
      <c r="L61" s="503" t="str">
        <f t="shared" ref="L61" si="801">IF(ROUND($H60/12,2)=0,"",ROUND($H60/12,2))</f>
        <v/>
      </c>
      <c r="M61" s="500" t="str">
        <f t="shared" ref="M61" si="802">IFERROR(IF(ROUND($G60/12,2)=0,"",ROUND($G60/12,2))+K61,"")</f>
        <v/>
      </c>
      <c r="N61" s="504" t="str">
        <f t="shared" ref="N61" si="803">IFERROR(IF(ROUND($H60/12,2)=0,"",ROUND($H60/12,2))+L61,"")</f>
        <v/>
      </c>
      <c r="O61" s="501" t="str">
        <f t="shared" ref="O61" si="804">IFERROR(IF(ROUND($G60/12,2)=0,"",ROUND($G60/12,2))+M61,"")</f>
        <v/>
      </c>
      <c r="P61" s="505" t="str">
        <f t="shared" ref="P61" si="805">IFERROR(IF(ROUND($H60/12,2)=0,"",ROUND($H60/12,2))+N61,"")</f>
        <v/>
      </c>
      <c r="Q61" s="500" t="str">
        <f t="shared" ref="Q61" si="806">IFERROR(IF(ROUND($G60/12,2)=0,"",ROUND($G60/12,2))+O61,"")</f>
        <v/>
      </c>
      <c r="R61" s="504" t="str">
        <f t="shared" ref="R61" si="807">IFERROR(IF(ROUND($H60/12,2)=0,"",ROUND($H60/12,2))+P61,"")</f>
        <v/>
      </c>
      <c r="S61" s="501" t="str">
        <f t="shared" ref="S61" si="808">IFERROR(IF(ROUND($G60/12,2)=0,"",ROUND($G60/12,2))+Q61,"")</f>
        <v/>
      </c>
      <c r="T61" s="505" t="str">
        <f t="shared" ref="T61" si="809">IFERROR(IF(ROUND($H60/12,2)=0,"",ROUND($H60/12,2))+R61,"")</f>
        <v/>
      </c>
      <c r="U61" s="500" t="str">
        <f t="shared" ref="U61" si="810">IFERROR(IF(ROUND($G60/12,2)=0,"",ROUND($G60/12,2))+S61,"")</f>
        <v/>
      </c>
      <c r="V61" s="504" t="str">
        <f t="shared" ref="V61" si="811">IFERROR(IF(ROUND($H60/12,2)=0,"",ROUND($H60/12,2))+T61,"")</f>
        <v/>
      </c>
      <c r="W61" s="501" t="str">
        <f t="shared" ref="W61" si="812">IFERROR(IF(ROUND($G60/12,2)=0,"",ROUND($G60/12,2))+U61,"")</f>
        <v/>
      </c>
      <c r="X61" s="505" t="str">
        <f t="shared" ref="X61" si="813">IFERROR(IF(ROUND($H60/12,2)=0,"",ROUND($H60/12,2))+V61,"")</f>
        <v/>
      </c>
      <c r="Y61" s="500" t="str">
        <f t="shared" ref="Y61" si="814">IFERROR(IF(ROUND($G60/12,2)=0,"",ROUND($G60/12,2))+W61,"")</f>
        <v/>
      </c>
      <c r="Z61" s="504" t="str">
        <f t="shared" ref="Z61" si="815">IFERROR(IF(ROUND($H60/12,2)=0,"",ROUND($H60/12,2))+X61,"")</f>
        <v/>
      </c>
      <c r="AA61" s="501" t="str">
        <f t="shared" ref="AA61" si="816">IFERROR(IF(ROUND($G60/12,2)=0,"",ROUND($G60/12,2))+Y61,"")</f>
        <v/>
      </c>
      <c r="AB61" s="505" t="str">
        <f t="shared" ref="AB61" si="817">IFERROR(IF(ROUND($H60/12,2)=0,"",ROUND($H60/12,2))+Z61,"")</f>
        <v/>
      </c>
      <c r="AC61" s="500" t="str">
        <f t="shared" ref="AC61" si="818">IFERROR(IF(ROUND($G60/12,2)=0,"",ROUND($G60/12,2))+AA61,"")</f>
        <v/>
      </c>
      <c r="AD61" s="504" t="str">
        <f t="shared" ref="AD61" si="819">IFERROR(IF(ROUND($H60/12,2)=0,"",ROUND($H60/12,2))+AB61,"")</f>
        <v/>
      </c>
      <c r="AE61" s="501" t="str">
        <f t="shared" ref="AE61" si="820">IFERROR(IF(ROUND($G60/12,2)=0,"",ROUND($G60/12,2))+AC61,"")</f>
        <v/>
      </c>
      <c r="AF61" s="505" t="str">
        <f t="shared" ref="AF61" si="821">IFERROR(IF(ROUND($H60/12,2)=0,"",ROUND($H60/12,2))+AD61,"")</f>
        <v/>
      </c>
      <c r="AG61" s="500" t="str">
        <f t="shared" ref="AG61" si="822">IFERROR(IF(ROUND($G60/12,2)=0,"",ROUND($G60/12,2))+AE61,"")</f>
        <v/>
      </c>
      <c r="AH61" s="506" t="str">
        <f t="shared" ref="AH61" si="823">IFERROR(IF(ROUND($H60/12,2)=0,"",ROUND($H60/12,2))+AF61,"")</f>
        <v/>
      </c>
      <c r="AI61" s="612"/>
      <c r="AJ61" s="614"/>
      <c r="AK61" s="616"/>
      <c r="AL61" s="618"/>
      <c r="AM61" s="363"/>
    </row>
    <row r="62" spans="1:39" x14ac:dyDescent="0.25">
      <c r="A62" s="578"/>
      <c r="B62" s="580"/>
      <c r="C62" s="582"/>
      <c r="D62" s="584"/>
      <c r="E62" s="574"/>
      <c r="F62" s="572"/>
      <c r="G62" s="574"/>
      <c r="H62" s="576"/>
      <c r="J62" s="287" t="str">
        <f t="shared" ref="J62" si="824">IF(ISBLANK(A62),"",B62)</f>
        <v/>
      </c>
      <c r="K62" s="257"/>
      <c r="L62" s="418"/>
      <c r="M62" s="419"/>
      <c r="N62" s="419"/>
      <c r="O62" s="418"/>
      <c r="P62" s="418"/>
      <c r="Q62" s="419"/>
      <c r="R62" s="419"/>
      <c r="S62" s="418"/>
      <c r="T62" s="418"/>
      <c r="U62" s="419"/>
      <c r="V62" s="419"/>
      <c r="W62" s="418"/>
      <c r="X62" s="418"/>
      <c r="Y62" s="419"/>
      <c r="Z62" s="419"/>
      <c r="AA62" s="418"/>
      <c r="AB62" s="418"/>
      <c r="AC62" s="419"/>
      <c r="AD62" s="419"/>
      <c r="AE62" s="418"/>
      <c r="AF62" s="418"/>
      <c r="AG62" s="419"/>
      <c r="AH62" s="258"/>
      <c r="AI62" s="611">
        <f t="shared" ref="AI62" si="825">SUM(K62,M62,O62,Q62,S62,U62,W62,Y62,AA62,AC62,AE62,AG62)</f>
        <v>0</v>
      </c>
      <c r="AJ62" s="613">
        <f t="shared" ref="AJ62" si="826">SUM(L62,N62,P62,R62,T62,V62,X62,Z62,AB62,AD62,AF62,AH62)</f>
        <v>0</v>
      </c>
      <c r="AK62" s="615">
        <f t="shared" ref="AK62" si="827">IFERROR(AI62/G62,0)</f>
        <v>0</v>
      </c>
      <c r="AL62" s="617">
        <f t="shared" ref="AL62" si="828">IFERROR(AJ62/H62,0)</f>
        <v>0</v>
      </c>
      <c r="AM62" s="363"/>
    </row>
    <row r="63" spans="1:39" ht="15.75" thickBot="1" x14ac:dyDescent="0.3">
      <c r="A63" s="579"/>
      <c r="B63" s="581"/>
      <c r="C63" s="583"/>
      <c r="D63" s="585"/>
      <c r="E63" s="575"/>
      <c r="F63" s="573"/>
      <c r="G63" s="575"/>
      <c r="H63" s="577"/>
      <c r="J63" s="391" t="s">
        <v>206</v>
      </c>
      <c r="K63" s="502" t="str">
        <f t="shared" ref="K63" si="829">IF(ROUND($G62/12,2)=0,"",ROUND($G62/12,2))</f>
        <v/>
      </c>
      <c r="L63" s="503" t="str">
        <f t="shared" ref="L63" si="830">IF(ROUND($H62/12,2)=0,"",ROUND($H62/12,2))</f>
        <v/>
      </c>
      <c r="M63" s="500" t="str">
        <f t="shared" ref="M63" si="831">IFERROR(IF(ROUND($G62/12,2)=0,"",ROUND($G62/12,2))+K63,"")</f>
        <v/>
      </c>
      <c r="N63" s="504" t="str">
        <f t="shared" ref="N63" si="832">IFERROR(IF(ROUND($H62/12,2)=0,"",ROUND($H62/12,2))+L63,"")</f>
        <v/>
      </c>
      <c r="O63" s="501" t="str">
        <f t="shared" ref="O63" si="833">IFERROR(IF(ROUND($G62/12,2)=0,"",ROUND($G62/12,2))+M63,"")</f>
        <v/>
      </c>
      <c r="P63" s="505" t="str">
        <f t="shared" ref="P63" si="834">IFERROR(IF(ROUND($H62/12,2)=0,"",ROUND($H62/12,2))+N63,"")</f>
        <v/>
      </c>
      <c r="Q63" s="500" t="str">
        <f t="shared" ref="Q63" si="835">IFERROR(IF(ROUND($G62/12,2)=0,"",ROUND($G62/12,2))+O63,"")</f>
        <v/>
      </c>
      <c r="R63" s="504" t="str">
        <f t="shared" ref="R63" si="836">IFERROR(IF(ROUND($H62/12,2)=0,"",ROUND($H62/12,2))+P63,"")</f>
        <v/>
      </c>
      <c r="S63" s="501" t="str">
        <f t="shared" ref="S63" si="837">IFERROR(IF(ROUND($G62/12,2)=0,"",ROUND($G62/12,2))+Q63,"")</f>
        <v/>
      </c>
      <c r="T63" s="505" t="str">
        <f t="shared" ref="T63" si="838">IFERROR(IF(ROUND($H62/12,2)=0,"",ROUND($H62/12,2))+R63,"")</f>
        <v/>
      </c>
      <c r="U63" s="500" t="str">
        <f t="shared" ref="U63" si="839">IFERROR(IF(ROUND($G62/12,2)=0,"",ROUND($G62/12,2))+S63,"")</f>
        <v/>
      </c>
      <c r="V63" s="504" t="str">
        <f t="shared" ref="V63" si="840">IFERROR(IF(ROUND($H62/12,2)=0,"",ROUND($H62/12,2))+T63,"")</f>
        <v/>
      </c>
      <c r="W63" s="501" t="str">
        <f t="shared" ref="W63" si="841">IFERROR(IF(ROUND($G62/12,2)=0,"",ROUND($G62/12,2))+U63,"")</f>
        <v/>
      </c>
      <c r="X63" s="505" t="str">
        <f t="shared" ref="X63" si="842">IFERROR(IF(ROUND($H62/12,2)=0,"",ROUND($H62/12,2))+V63,"")</f>
        <v/>
      </c>
      <c r="Y63" s="500" t="str">
        <f t="shared" ref="Y63" si="843">IFERROR(IF(ROUND($G62/12,2)=0,"",ROUND($G62/12,2))+W63,"")</f>
        <v/>
      </c>
      <c r="Z63" s="504" t="str">
        <f t="shared" ref="Z63" si="844">IFERROR(IF(ROUND($H62/12,2)=0,"",ROUND($H62/12,2))+X63,"")</f>
        <v/>
      </c>
      <c r="AA63" s="501" t="str">
        <f t="shared" ref="AA63" si="845">IFERROR(IF(ROUND($G62/12,2)=0,"",ROUND($G62/12,2))+Y63,"")</f>
        <v/>
      </c>
      <c r="AB63" s="505" t="str">
        <f t="shared" ref="AB63" si="846">IFERROR(IF(ROUND($H62/12,2)=0,"",ROUND($H62/12,2))+Z63,"")</f>
        <v/>
      </c>
      <c r="AC63" s="500" t="str">
        <f t="shared" ref="AC63" si="847">IFERROR(IF(ROUND($G62/12,2)=0,"",ROUND($G62/12,2))+AA63,"")</f>
        <v/>
      </c>
      <c r="AD63" s="504" t="str">
        <f t="shared" ref="AD63" si="848">IFERROR(IF(ROUND($H62/12,2)=0,"",ROUND($H62/12,2))+AB63,"")</f>
        <v/>
      </c>
      <c r="AE63" s="501" t="str">
        <f t="shared" ref="AE63" si="849">IFERROR(IF(ROUND($G62/12,2)=0,"",ROUND($G62/12,2))+AC63,"")</f>
        <v/>
      </c>
      <c r="AF63" s="505" t="str">
        <f t="shared" ref="AF63" si="850">IFERROR(IF(ROUND($H62/12,2)=0,"",ROUND($H62/12,2))+AD63,"")</f>
        <v/>
      </c>
      <c r="AG63" s="500" t="str">
        <f t="shared" ref="AG63" si="851">IFERROR(IF(ROUND($G62/12,2)=0,"",ROUND($G62/12,2))+AE63,"")</f>
        <v/>
      </c>
      <c r="AH63" s="506" t="str">
        <f t="shared" ref="AH63" si="852">IFERROR(IF(ROUND($H62/12,2)=0,"",ROUND($H62/12,2))+AF63,"")</f>
        <v/>
      </c>
      <c r="AI63" s="612"/>
      <c r="AJ63" s="614"/>
      <c r="AK63" s="616"/>
      <c r="AL63" s="618"/>
      <c r="AM63" s="363"/>
    </row>
    <row r="64" spans="1:39" ht="15.75" thickBot="1" x14ac:dyDescent="0.3">
      <c r="A64" s="363"/>
      <c r="B64" s="363"/>
      <c r="C64" s="363"/>
      <c r="D64" s="363"/>
      <c r="E64" s="363"/>
      <c r="F64" s="363"/>
      <c r="G64" s="363"/>
      <c r="H64" s="363"/>
      <c r="I64" s="363"/>
      <c r="J64" s="413" t="s">
        <v>61</v>
      </c>
      <c r="K64" s="414">
        <f>SUM(K4,K6,K8,K10,K12,K14,K16,K18,K20,K22,K24,K26,K28,K30,K32,K34,K36,K38,K40,K42,K44,K46,K48,K50,K52,K54,K56,K58,K60,K62)</f>
        <v>0</v>
      </c>
      <c r="L64" s="415">
        <f t="shared" ref="L64:AH64" si="853">SUM(L4,L6,L8,L10,L12,L14,L16,L18,L20,L22,L24,L26,L28,L30,L32,L34,L36,L38,L40,L42,L44,L46,L48,L50,L52,L54,L56,L58,L60,L62)</f>
        <v>0</v>
      </c>
      <c r="M64" s="416">
        <f t="shared" si="853"/>
        <v>0</v>
      </c>
      <c r="N64" s="417">
        <f t="shared" si="853"/>
        <v>0</v>
      </c>
      <c r="O64" s="414">
        <f t="shared" si="853"/>
        <v>0</v>
      </c>
      <c r="P64" s="415">
        <f t="shared" si="853"/>
        <v>0</v>
      </c>
      <c r="Q64" s="416">
        <f t="shared" si="853"/>
        <v>0</v>
      </c>
      <c r="R64" s="417">
        <f t="shared" si="853"/>
        <v>0</v>
      </c>
      <c r="S64" s="414">
        <f t="shared" si="853"/>
        <v>0</v>
      </c>
      <c r="T64" s="415">
        <f t="shared" si="853"/>
        <v>0</v>
      </c>
      <c r="U64" s="416">
        <f t="shared" si="853"/>
        <v>0</v>
      </c>
      <c r="V64" s="417">
        <f t="shared" si="853"/>
        <v>0</v>
      </c>
      <c r="W64" s="414">
        <f t="shared" si="853"/>
        <v>0</v>
      </c>
      <c r="X64" s="415">
        <f t="shared" si="853"/>
        <v>0</v>
      </c>
      <c r="Y64" s="416">
        <f t="shared" si="853"/>
        <v>0</v>
      </c>
      <c r="Z64" s="417">
        <f t="shared" si="853"/>
        <v>0</v>
      </c>
      <c r="AA64" s="414">
        <f t="shared" si="853"/>
        <v>0</v>
      </c>
      <c r="AB64" s="415">
        <f t="shared" si="853"/>
        <v>0</v>
      </c>
      <c r="AC64" s="416">
        <f t="shared" si="853"/>
        <v>0</v>
      </c>
      <c r="AD64" s="417">
        <f t="shared" si="853"/>
        <v>0</v>
      </c>
      <c r="AE64" s="414">
        <f t="shared" si="853"/>
        <v>0</v>
      </c>
      <c r="AF64" s="415">
        <f t="shared" si="853"/>
        <v>0</v>
      </c>
      <c r="AG64" s="416">
        <f t="shared" si="853"/>
        <v>0</v>
      </c>
      <c r="AH64" s="417">
        <f t="shared" si="853"/>
        <v>0</v>
      </c>
      <c r="AI64" s="402">
        <f t="shared" ref="AI64:AJ64" si="854">SUM(AI4:AI14)</f>
        <v>0</v>
      </c>
      <c r="AJ64" s="403">
        <f t="shared" si="854"/>
        <v>0</v>
      </c>
      <c r="AK64" s="404">
        <f>IFERROR(AI64/G30,0)</f>
        <v>0</v>
      </c>
      <c r="AL64" s="405">
        <f>IFERROR(AJ64/H30,0)</f>
        <v>0</v>
      </c>
      <c r="AM64" s="363"/>
    </row>
    <row r="65" spans="1:39" x14ac:dyDescent="0.25">
      <c r="A65" s="363"/>
      <c r="B65" s="363"/>
      <c r="C65" s="363"/>
      <c r="D65" s="363"/>
      <c r="E65" s="363"/>
      <c r="F65" s="363"/>
      <c r="G65" s="363"/>
      <c r="H65" s="363"/>
      <c r="I65" s="363"/>
      <c r="J65" s="363"/>
      <c r="K65" s="363"/>
      <c r="L65" s="363"/>
      <c r="M65" s="363"/>
      <c r="N65" s="363"/>
      <c r="O65" s="363"/>
      <c r="P65" s="363"/>
      <c r="Q65" s="363"/>
      <c r="R65" s="363"/>
      <c r="S65" s="363"/>
      <c r="T65" s="363"/>
      <c r="U65" s="363"/>
      <c r="V65" s="363"/>
      <c r="W65" s="363"/>
      <c r="X65" s="363"/>
      <c r="Y65" s="363"/>
      <c r="Z65" s="363"/>
      <c r="AA65" s="363"/>
      <c r="AB65" s="363"/>
      <c r="AC65" s="363"/>
      <c r="AD65" s="363"/>
      <c r="AE65" s="363"/>
      <c r="AF65" s="363"/>
      <c r="AG65" s="363"/>
      <c r="AH65" s="363"/>
      <c r="AI65" s="363"/>
      <c r="AJ65" s="363"/>
      <c r="AK65" s="363"/>
      <c r="AL65" s="363"/>
      <c r="AM65" s="363"/>
    </row>
  </sheetData>
  <sheetProtection sheet="1" selectLockedCells="1"/>
  <customSheetViews>
    <customSheetView guid="{DDFF3EBC-2CED-4439-A844-7B6A9C88C75C}">
      <selection activeCell="C24" sqref="C24"/>
      <pageMargins left="0.7" right="0.7" top="0.75" bottom="0.75" header="0.3" footer="0.3"/>
      <pageSetup orientation="portrait" horizontalDpi="1200" verticalDpi="1200" r:id="rId1"/>
    </customSheetView>
    <customSheetView guid="{B51176BD-3A7B-4ED1-B67D-463289B65E73}">
      <selection activeCell="C24" sqref="C24"/>
      <pageMargins left="0.7" right="0.7" top="0.75" bottom="0.75" header="0.3" footer="0.3"/>
      <pageSetup orientation="portrait" horizontalDpi="1200" verticalDpi="1200" r:id="rId2"/>
    </customSheetView>
  </customSheetViews>
  <mergeCells count="385">
    <mergeCell ref="AI58:AI59"/>
    <mergeCell ref="AJ58:AJ59"/>
    <mergeCell ref="AK58:AK59"/>
    <mergeCell ref="AL58:AL59"/>
    <mergeCell ref="AI60:AI61"/>
    <mergeCell ref="AJ60:AJ61"/>
    <mergeCell ref="AK60:AK61"/>
    <mergeCell ref="AL60:AL61"/>
    <mergeCell ref="AI62:AI63"/>
    <mergeCell ref="AJ62:AJ63"/>
    <mergeCell ref="AK62:AK63"/>
    <mergeCell ref="AL62:AL63"/>
    <mergeCell ref="AI52:AI53"/>
    <mergeCell ref="AJ52:AJ53"/>
    <mergeCell ref="AK52:AK53"/>
    <mergeCell ref="AL52:AL53"/>
    <mergeCell ref="AI54:AI55"/>
    <mergeCell ref="AJ54:AJ55"/>
    <mergeCell ref="AK54:AK55"/>
    <mergeCell ref="AL54:AL55"/>
    <mergeCell ref="AI56:AI57"/>
    <mergeCell ref="AJ56:AJ57"/>
    <mergeCell ref="AK56:AK57"/>
    <mergeCell ref="AL56:AL57"/>
    <mergeCell ref="AI46:AI47"/>
    <mergeCell ref="AJ46:AJ47"/>
    <mergeCell ref="AK46:AK47"/>
    <mergeCell ref="AL46:AL47"/>
    <mergeCell ref="AI48:AI49"/>
    <mergeCell ref="AJ48:AJ49"/>
    <mergeCell ref="AK48:AK49"/>
    <mergeCell ref="AL48:AL49"/>
    <mergeCell ref="AI50:AI51"/>
    <mergeCell ref="AJ50:AJ51"/>
    <mergeCell ref="AK50:AK51"/>
    <mergeCell ref="AL50:AL51"/>
    <mergeCell ref="AI40:AI41"/>
    <mergeCell ref="AJ40:AJ41"/>
    <mergeCell ref="AK40:AK41"/>
    <mergeCell ref="AL40:AL41"/>
    <mergeCell ref="AI42:AI43"/>
    <mergeCell ref="AJ42:AJ43"/>
    <mergeCell ref="AK42:AK43"/>
    <mergeCell ref="AL42:AL43"/>
    <mergeCell ref="AI44:AI45"/>
    <mergeCell ref="AJ44:AJ45"/>
    <mergeCell ref="AK44:AK45"/>
    <mergeCell ref="AL44:AL45"/>
    <mergeCell ref="AI34:AI35"/>
    <mergeCell ref="AJ34:AJ35"/>
    <mergeCell ref="AK34:AK35"/>
    <mergeCell ref="AL34:AL35"/>
    <mergeCell ref="AI36:AI37"/>
    <mergeCell ref="AJ36:AJ37"/>
    <mergeCell ref="AK36:AK37"/>
    <mergeCell ref="AL36:AL37"/>
    <mergeCell ref="AI38:AI39"/>
    <mergeCell ref="AJ38:AJ39"/>
    <mergeCell ref="AK38:AK39"/>
    <mergeCell ref="AL38:AL39"/>
    <mergeCell ref="AI28:AI29"/>
    <mergeCell ref="AJ28:AJ29"/>
    <mergeCell ref="AK28:AK29"/>
    <mergeCell ref="AL28:AL29"/>
    <mergeCell ref="AI30:AI31"/>
    <mergeCell ref="AJ30:AJ31"/>
    <mergeCell ref="AK30:AK31"/>
    <mergeCell ref="AL30:AL31"/>
    <mergeCell ref="AI32:AI33"/>
    <mergeCell ref="AJ32:AJ33"/>
    <mergeCell ref="AK32:AK33"/>
    <mergeCell ref="AL32:AL33"/>
    <mergeCell ref="AI22:AI23"/>
    <mergeCell ref="AJ22:AJ23"/>
    <mergeCell ref="AK22:AK23"/>
    <mergeCell ref="AL22:AL23"/>
    <mergeCell ref="AI24:AI25"/>
    <mergeCell ref="AJ24:AJ25"/>
    <mergeCell ref="AK24:AK25"/>
    <mergeCell ref="AL24:AL25"/>
    <mergeCell ref="AI26:AI27"/>
    <mergeCell ref="AJ26:AJ27"/>
    <mergeCell ref="AK26:AK27"/>
    <mergeCell ref="AL26:AL27"/>
    <mergeCell ref="AI16:AI17"/>
    <mergeCell ref="AJ16:AJ17"/>
    <mergeCell ref="AK16:AK17"/>
    <mergeCell ref="AL16:AL17"/>
    <mergeCell ref="AI18:AI19"/>
    <mergeCell ref="AJ18:AJ19"/>
    <mergeCell ref="AK18:AK19"/>
    <mergeCell ref="AL18:AL19"/>
    <mergeCell ref="AI20:AI21"/>
    <mergeCell ref="AJ20:AJ21"/>
    <mergeCell ref="AK20:AK21"/>
    <mergeCell ref="AL20:AL21"/>
    <mergeCell ref="AI10:AI11"/>
    <mergeCell ref="AJ10:AJ11"/>
    <mergeCell ref="AK10:AK11"/>
    <mergeCell ref="AL10:AL11"/>
    <mergeCell ref="AI12:AI13"/>
    <mergeCell ref="AJ12:AJ13"/>
    <mergeCell ref="AK12:AK13"/>
    <mergeCell ref="AL12:AL13"/>
    <mergeCell ref="AI14:AI15"/>
    <mergeCell ref="AJ14:AJ15"/>
    <mergeCell ref="AK14:AK15"/>
    <mergeCell ref="AL14:AL15"/>
    <mergeCell ref="AI6:AI7"/>
    <mergeCell ref="AJ6:AJ7"/>
    <mergeCell ref="AK6:AK7"/>
    <mergeCell ref="AL6:AL7"/>
    <mergeCell ref="AI8:AI9"/>
    <mergeCell ref="AJ8:AJ9"/>
    <mergeCell ref="AK8:AK9"/>
    <mergeCell ref="AL8:AL9"/>
    <mergeCell ref="AI2:AJ2"/>
    <mergeCell ref="AK2:AL2"/>
    <mergeCell ref="AL4:AL5"/>
    <mergeCell ref="AK4:AK5"/>
    <mergeCell ref="AJ4:AJ5"/>
    <mergeCell ref="AI4:AI5"/>
    <mergeCell ref="J1:AL1"/>
    <mergeCell ref="H2:H3"/>
    <mergeCell ref="A2:A3"/>
    <mergeCell ref="B2:B3"/>
    <mergeCell ref="C2:C3"/>
    <mergeCell ref="D2:D3"/>
    <mergeCell ref="E2:E3"/>
    <mergeCell ref="F2:F3"/>
    <mergeCell ref="J2:J3"/>
    <mergeCell ref="A1:H1"/>
    <mergeCell ref="K2:L2"/>
    <mergeCell ref="M2:N2"/>
    <mergeCell ref="O2:P2"/>
    <mergeCell ref="Q2:R2"/>
    <mergeCell ref="AC2:AD2"/>
    <mergeCell ref="AE2:AF2"/>
    <mergeCell ref="AG2:AH2"/>
    <mergeCell ref="G2:G3"/>
    <mergeCell ref="S2:T2"/>
    <mergeCell ref="U2:V2"/>
    <mergeCell ref="W2:X2"/>
    <mergeCell ref="Y2:Z2"/>
    <mergeCell ref="AA2:AB2"/>
    <mergeCell ref="D6:D7"/>
    <mergeCell ref="E6:E7"/>
    <mergeCell ref="F6:F7"/>
    <mergeCell ref="G6:G7"/>
    <mergeCell ref="H6:H7"/>
    <mergeCell ref="C4:C5"/>
    <mergeCell ref="B4:B5"/>
    <mergeCell ref="A4:A5"/>
    <mergeCell ref="A6:A7"/>
    <mergeCell ref="B6:B7"/>
    <mergeCell ref="C6:C7"/>
    <mergeCell ref="H4:H5"/>
    <mergeCell ref="G4:G5"/>
    <mergeCell ref="F4:F5"/>
    <mergeCell ref="E4:E5"/>
    <mergeCell ref="D4:D5"/>
    <mergeCell ref="F8:F9"/>
    <mergeCell ref="G8:G9"/>
    <mergeCell ref="H8:H9"/>
    <mergeCell ref="A10:A11"/>
    <mergeCell ref="B10:B11"/>
    <mergeCell ref="C10:C11"/>
    <mergeCell ref="D10:D11"/>
    <mergeCell ref="E10:E11"/>
    <mergeCell ref="F10:F11"/>
    <mergeCell ref="G10:G11"/>
    <mergeCell ref="H10:H11"/>
    <mergeCell ref="A8:A9"/>
    <mergeCell ref="B8:B9"/>
    <mergeCell ref="C8:C9"/>
    <mergeCell ref="D8:D9"/>
    <mergeCell ref="E8:E9"/>
    <mergeCell ref="F12:F13"/>
    <mergeCell ref="G12:G13"/>
    <mergeCell ref="H12:H13"/>
    <mergeCell ref="A14:A15"/>
    <mergeCell ref="B14:B15"/>
    <mergeCell ref="C14:C15"/>
    <mergeCell ref="D14:D15"/>
    <mergeCell ref="E14:E15"/>
    <mergeCell ref="F14:F15"/>
    <mergeCell ref="G14:G15"/>
    <mergeCell ref="H14:H15"/>
    <mergeCell ref="A12:A13"/>
    <mergeCell ref="B12:B13"/>
    <mergeCell ref="C12:C13"/>
    <mergeCell ref="D12:D13"/>
    <mergeCell ref="E12:E13"/>
    <mergeCell ref="F16:F17"/>
    <mergeCell ref="G16:G17"/>
    <mergeCell ref="H16:H17"/>
    <mergeCell ref="A18:A19"/>
    <mergeCell ref="B18:B19"/>
    <mergeCell ref="C18:C19"/>
    <mergeCell ref="D18:D19"/>
    <mergeCell ref="E18:E19"/>
    <mergeCell ref="F18:F19"/>
    <mergeCell ref="G18:G19"/>
    <mergeCell ref="H18:H19"/>
    <mergeCell ref="A16:A17"/>
    <mergeCell ref="B16:B17"/>
    <mergeCell ref="C16:C17"/>
    <mergeCell ref="D16:D17"/>
    <mergeCell ref="E16:E17"/>
    <mergeCell ref="F20:F21"/>
    <mergeCell ref="G20:G21"/>
    <mergeCell ref="H20:H21"/>
    <mergeCell ref="A22:A23"/>
    <mergeCell ref="B22:B23"/>
    <mergeCell ref="C22:C23"/>
    <mergeCell ref="D22:D23"/>
    <mergeCell ref="E22:E23"/>
    <mergeCell ref="F22:F23"/>
    <mergeCell ref="G22:G23"/>
    <mergeCell ref="H22:H23"/>
    <mergeCell ref="A20:A21"/>
    <mergeCell ref="B20:B21"/>
    <mergeCell ref="C20:C21"/>
    <mergeCell ref="D20:D21"/>
    <mergeCell ref="E20:E21"/>
    <mergeCell ref="F24:F25"/>
    <mergeCell ref="G24:G25"/>
    <mergeCell ref="H24:H25"/>
    <mergeCell ref="A26:A27"/>
    <mergeCell ref="B26:B27"/>
    <mergeCell ref="C26:C27"/>
    <mergeCell ref="D26:D27"/>
    <mergeCell ref="E26:E27"/>
    <mergeCell ref="F26:F27"/>
    <mergeCell ref="G26:G27"/>
    <mergeCell ref="H26:H27"/>
    <mergeCell ref="A24:A25"/>
    <mergeCell ref="B24:B25"/>
    <mergeCell ref="C24:C25"/>
    <mergeCell ref="D24:D25"/>
    <mergeCell ref="E24:E25"/>
    <mergeCell ref="F28:F29"/>
    <mergeCell ref="G28:G29"/>
    <mergeCell ref="H28:H29"/>
    <mergeCell ref="A30:A31"/>
    <mergeCell ref="B30:B31"/>
    <mergeCell ref="C30:C31"/>
    <mergeCell ref="D30:D31"/>
    <mergeCell ref="E30:E31"/>
    <mergeCell ref="F30:F31"/>
    <mergeCell ref="G30:G31"/>
    <mergeCell ref="H30:H31"/>
    <mergeCell ref="A28:A29"/>
    <mergeCell ref="B28:B29"/>
    <mergeCell ref="C28:C29"/>
    <mergeCell ref="D28:D29"/>
    <mergeCell ref="E28:E29"/>
    <mergeCell ref="F32:F33"/>
    <mergeCell ref="G32:G33"/>
    <mergeCell ref="H32:H33"/>
    <mergeCell ref="A34:A35"/>
    <mergeCell ref="B34:B35"/>
    <mergeCell ref="C34:C35"/>
    <mergeCell ref="D34:D35"/>
    <mergeCell ref="E34:E35"/>
    <mergeCell ref="F34:F35"/>
    <mergeCell ref="G34:G35"/>
    <mergeCell ref="H34:H35"/>
    <mergeCell ref="A32:A33"/>
    <mergeCell ref="B32:B33"/>
    <mergeCell ref="C32:C33"/>
    <mergeCell ref="D32:D33"/>
    <mergeCell ref="E32:E33"/>
    <mergeCell ref="F36:F37"/>
    <mergeCell ref="G36:G37"/>
    <mergeCell ref="H36:H37"/>
    <mergeCell ref="A38:A39"/>
    <mergeCell ref="B38:B39"/>
    <mergeCell ref="C38:C39"/>
    <mergeCell ref="D38:D39"/>
    <mergeCell ref="E38:E39"/>
    <mergeCell ref="F38:F39"/>
    <mergeCell ref="G38:G39"/>
    <mergeCell ref="H38:H39"/>
    <mergeCell ref="A36:A37"/>
    <mergeCell ref="B36:B37"/>
    <mergeCell ref="C36:C37"/>
    <mergeCell ref="D36:D37"/>
    <mergeCell ref="E36:E37"/>
    <mergeCell ref="F40:F41"/>
    <mergeCell ref="G40:G41"/>
    <mergeCell ref="H40:H41"/>
    <mergeCell ref="A42:A43"/>
    <mergeCell ref="B42:B43"/>
    <mergeCell ref="C42:C43"/>
    <mergeCell ref="D42:D43"/>
    <mergeCell ref="E42:E43"/>
    <mergeCell ref="F42:F43"/>
    <mergeCell ref="G42:G43"/>
    <mergeCell ref="H42:H43"/>
    <mergeCell ref="A40:A41"/>
    <mergeCell ref="B40:B41"/>
    <mergeCell ref="C40:C41"/>
    <mergeCell ref="D40:D41"/>
    <mergeCell ref="E40:E41"/>
    <mergeCell ref="F44:F45"/>
    <mergeCell ref="G44:G45"/>
    <mergeCell ref="H44:H45"/>
    <mergeCell ref="A46:A47"/>
    <mergeCell ref="B46:B47"/>
    <mergeCell ref="C46:C47"/>
    <mergeCell ref="D46:D47"/>
    <mergeCell ref="E46:E47"/>
    <mergeCell ref="F46:F47"/>
    <mergeCell ref="G46:G47"/>
    <mergeCell ref="H46:H47"/>
    <mergeCell ref="A44:A45"/>
    <mergeCell ref="B44:B45"/>
    <mergeCell ref="C44:C45"/>
    <mergeCell ref="D44:D45"/>
    <mergeCell ref="E44:E45"/>
    <mergeCell ref="F48:F49"/>
    <mergeCell ref="G48:G49"/>
    <mergeCell ref="H48:H49"/>
    <mergeCell ref="A50:A51"/>
    <mergeCell ref="B50:B51"/>
    <mergeCell ref="C50:C51"/>
    <mergeCell ref="D50:D51"/>
    <mergeCell ref="E50:E51"/>
    <mergeCell ref="F50:F51"/>
    <mergeCell ref="G50:G51"/>
    <mergeCell ref="H50:H51"/>
    <mergeCell ref="A48:A49"/>
    <mergeCell ref="B48:B49"/>
    <mergeCell ref="C48:C49"/>
    <mergeCell ref="D48:D49"/>
    <mergeCell ref="E48:E49"/>
    <mergeCell ref="F52:F53"/>
    <mergeCell ref="G52:G53"/>
    <mergeCell ref="H52:H53"/>
    <mergeCell ref="A54:A55"/>
    <mergeCell ref="B54:B55"/>
    <mergeCell ref="C54:C55"/>
    <mergeCell ref="D54:D55"/>
    <mergeCell ref="E54:E55"/>
    <mergeCell ref="F54:F55"/>
    <mergeCell ref="G54:G55"/>
    <mergeCell ref="H54:H55"/>
    <mergeCell ref="A52:A53"/>
    <mergeCell ref="B52:B53"/>
    <mergeCell ref="C52:C53"/>
    <mergeCell ref="D52:D53"/>
    <mergeCell ref="E52:E53"/>
    <mergeCell ref="B58:B59"/>
    <mergeCell ref="C58:C59"/>
    <mergeCell ref="D58:D59"/>
    <mergeCell ref="E58:E59"/>
    <mergeCell ref="F58:F59"/>
    <mergeCell ref="G58:G59"/>
    <mergeCell ref="H58:H59"/>
    <mergeCell ref="A56:A57"/>
    <mergeCell ref="B56:B57"/>
    <mergeCell ref="C56:C57"/>
    <mergeCell ref="D56:D57"/>
    <mergeCell ref="E56:E57"/>
    <mergeCell ref="F56:F57"/>
    <mergeCell ref="G56:G57"/>
    <mergeCell ref="H56:H57"/>
    <mergeCell ref="A58:A59"/>
    <mergeCell ref="F60:F61"/>
    <mergeCell ref="G60:G61"/>
    <mergeCell ref="H60:H61"/>
    <mergeCell ref="A62:A63"/>
    <mergeCell ref="B62:B63"/>
    <mergeCell ref="C62:C63"/>
    <mergeCell ref="D62:D63"/>
    <mergeCell ref="E62:E63"/>
    <mergeCell ref="F62:F63"/>
    <mergeCell ref="G62:G63"/>
    <mergeCell ref="H62:H63"/>
    <mergeCell ref="A60:A61"/>
    <mergeCell ref="B60:B61"/>
    <mergeCell ref="C60:C61"/>
    <mergeCell ref="D60:D61"/>
    <mergeCell ref="E60:E61"/>
  </mergeCells>
  <pageMargins left="0.7" right="0.7" top="0.75" bottom="0.75" header="0.3" footer="0.3"/>
  <pageSetup orientation="portrait" horizontalDpi="1200" verticalDpi="120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7A1E3"/>
    <pageSetUpPr fitToPage="1"/>
  </sheetPr>
  <dimension ref="A1:Z44"/>
  <sheetViews>
    <sheetView workbookViewId="0">
      <selection activeCell="G16" sqref="G16"/>
    </sheetView>
  </sheetViews>
  <sheetFormatPr defaultRowHeight="15" x14ac:dyDescent="0.25"/>
  <cols>
    <col min="1" max="1" width="63.7109375" bestFit="1" customWidth="1"/>
    <col min="3" max="4" width="12.140625" customWidth="1"/>
    <col min="5" max="5" width="11.42578125" customWidth="1"/>
    <col min="7" max="7" width="11.5703125" customWidth="1"/>
    <col min="14" max="25" width="10" customWidth="1"/>
    <col min="26" max="26" width="12.140625" customWidth="1"/>
  </cols>
  <sheetData>
    <row r="1" spans="1:26" ht="15.75" thickBot="1" x14ac:dyDescent="0.3">
      <c r="A1" s="293"/>
      <c r="B1" s="293"/>
      <c r="C1" s="644" t="str">
        <f>CONCATENATE("FY ",'BUDGET OVERVIEW'!B1)</f>
        <v>FY 2022</v>
      </c>
      <c r="D1" s="645"/>
      <c r="E1" s="294" t="str">
        <f>CONCATENATE("FY ",'BUDGET OVERVIEW'!B1+1)</f>
        <v>FY 2023</v>
      </c>
      <c r="F1" s="11"/>
      <c r="G1" s="286"/>
      <c r="H1" s="646" t="s">
        <v>230</v>
      </c>
      <c r="I1" s="647"/>
      <c r="J1" s="648" t="s">
        <v>216</v>
      </c>
      <c r="K1" s="649"/>
      <c r="L1" s="259"/>
      <c r="M1" s="639" t="s">
        <v>261</v>
      </c>
      <c r="N1" s="640"/>
      <c r="O1" s="640"/>
      <c r="P1" s="640"/>
      <c r="Q1" s="640"/>
      <c r="R1" s="640"/>
      <c r="S1" s="640"/>
      <c r="T1" s="640"/>
      <c r="U1" s="640"/>
      <c r="V1" s="640"/>
      <c r="W1" s="640"/>
      <c r="X1" s="640"/>
      <c r="Y1" s="640"/>
      <c r="Z1" s="641"/>
    </row>
    <row r="2" spans="1:26" ht="30.75" thickBot="1" x14ac:dyDescent="0.3">
      <c r="A2" s="295" t="s">
        <v>173</v>
      </c>
      <c r="B2" s="296" t="s">
        <v>139</v>
      </c>
      <c r="C2" s="297" t="s">
        <v>60</v>
      </c>
      <c r="D2" s="298" t="s">
        <v>8</v>
      </c>
      <c r="E2" s="296" t="s">
        <v>174</v>
      </c>
      <c r="F2" s="11"/>
      <c r="G2" s="395" t="s">
        <v>52</v>
      </c>
      <c r="H2" s="396" t="s">
        <v>139</v>
      </c>
      <c r="I2" s="397" t="s">
        <v>218</v>
      </c>
      <c r="J2" s="396" t="s">
        <v>139</v>
      </c>
      <c r="K2" s="397" t="s">
        <v>218</v>
      </c>
      <c r="L2" s="260"/>
      <c r="M2" s="261"/>
      <c r="N2" s="262">
        <f>DATE(('BUDGET OVERVIEW'!$B$1-1),10,1)</f>
        <v>44470</v>
      </c>
      <c r="O2" s="262">
        <f>DATE(('BUDGET OVERVIEW'!$B$1-1),11,1)</f>
        <v>44501</v>
      </c>
      <c r="P2" s="262">
        <f>DATE(('BUDGET OVERVIEW'!$B$1-1),12,1)</f>
        <v>44531</v>
      </c>
      <c r="Q2" s="262">
        <f>DATE(('BUDGET OVERVIEW'!$B$1),1,1)</f>
        <v>44562</v>
      </c>
      <c r="R2" s="262">
        <f>DATE(('BUDGET OVERVIEW'!$B$1),2,1)</f>
        <v>44593</v>
      </c>
      <c r="S2" s="262">
        <f>DATE(('BUDGET OVERVIEW'!$B$1),3,1)</f>
        <v>44621</v>
      </c>
      <c r="T2" s="262">
        <f>DATE(('BUDGET OVERVIEW'!$B$1),4,1)</f>
        <v>44652</v>
      </c>
      <c r="U2" s="262">
        <f>DATE(('BUDGET OVERVIEW'!$B$1),5,1)</f>
        <v>44682</v>
      </c>
      <c r="V2" s="262">
        <f>DATE(('BUDGET OVERVIEW'!$B$1),6,1)</f>
        <v>44713</v>
      </c>
      <c r="W2" s="262">
        <f>DATE(('BUDGET OVERVIEW'!$B$1),7,1)</f>
        <v>44743</v>
      </c>
      <c r="X2" s="262">
        <f>DATE(('BUDGET OVERVIEW'!$B$1),8,1)</f>
        <v>44774</v>
      </c>
      <c r="Y2" s="263">
        <f>DATE(('BUDGET OVERVIEW'!$B$1),9,1)</f>
        <v>44805</v>
      </c>
      <c r="Z2" s="264" t="s">
        <v>6</v>
      </c>
    </row>
    <row r="3" spans="1:26" x14ac:dyDescent="0.25">
      <c r="A3" s="299" t="s">
        <v>154</v>
      </c>
      <c r="B3" s="300" t="s">
        <v>220</v>
      </c>
      <c r="C3" s="301">
        <f>SUMIF('SOCIAL MEDIA'!$A$2:$A$100,B3,'SOCIAL MEDIA'!$G$2:$G$100)</f>
        <v>0</v>
      </c>
      <c r="D3" s="302">
        <f>SUMIF('SOCIAL MEDIA'!$A$2:$A$100,$B3,'SOCIAL MEDIA'!$J$2:$J$100)</f>
        <v>0</v>
      </c>
      <c r="E3" s="380"/>
      <c r="F3" s="11"/>
      <c r="G3" s="394" t="s">
        <v>281</v>
      </c>
      <c r="H3" s="289" t="s">
        <v>221</v>
      </c>
      <c r="I3" s="290" t="s">
        <v>225</v>
      </c>
      <c r="J3" s="289" t="s">
        <v>248</v>
      </c>
      <c r="K3" s="290" t="s">
        <v>297</v>
      </c>
      <c r="L3" s="260"/>
      <c r="M3" s="265" t="str">
        <f>B3</f>
        <v>FAD96</v>
      </c>
      <c r="N3" s="266">
        <f>SUMIFS(BOOTHS!$G$2:$G$100,BOOTHS!$A$2:$A$100,$M3,BOOTHS!$F$2:$F$100,"&gt;="&amp;N$2,BOOTHS!$F$2:$F$100,"&lt;="&amp;EOMONTH(N$2,0))
+SUMIFS('SOCIAL MEDIA'!$G$2:$G$100,'SOCIAL MEDIA'!$A$2:$A$100,$M3,'SOCIAL MEDIA'!$F$2:$F$100,"&gt;="&amp;N$2,'SOCIAL MEDIA'!$F$2:$F$100,"&lt;="&amp;EOMONTH(N$2,0))
+SUMIFS('INTERNET JOB'!$G$2:$G$100,'INTERNET JOB'!$A$2:$A$100,$M3,'INTERNET JOB'!$F$2:$F$100,"&gt;="&amp;N$2,'INTERNET JOB'!$F$2:$F$100,"&lt;="&amp;EOMONTH(N$2,0))</f>
        <v>0</v>
      </c>
      <c r="O3" s="266">
        <f>SUMIFS(BOOTHS!$G$2:$G$100,BOOTHS!$A$2:$A$100,$M3,BOOTHS!$F$2:$F$100,"&gt;="&amp;O$2,BOOTHS!$F$2:$F$100,"&lt;="&amp;EOMONTH(O$2,0))
+SUMIFS('SOCIAL MEDIA'!$G$2:$G$100,'SOCIAL MEDIA'!$A$2:$A$100,$M3,'SOCIAL MEDIA'!$F$2:$F$100,"&gt;="&amp;O$2,'SOCIAL MEDIA'!$F$2:$F$100,"&lt;="&amp;EOMONTH(O$2,0))
+SUMIFS('INTERNET JOB'!$G$2:$G$100,'INTERNET JOB'!$A$2:$A$100,$M3,'INTERNET JOB'!$F$2:$F$100,"&gt;="&amp;O$2,'INTERNET JOB'!$F$2:$F$100,"&lt;="&amp;EOMONTH(O$2,0))</f>
        <v>0</v>
      </c>
      <c r="P3" s="266">
        <f>SUMIFS(BOOTHS!$G$2:$G$100,BOOTHS!$A$2:$A$100,$M3,BOOTHS!$F$2:$F$100,"&gt;="&amp;P$2,BOOTHS!$F$2:$F$100,"&lt;="&amp;EOMONTH(P$2,0))
+SUMIFS('SOCIAL MEDIA'!$G$2:$G$100,'SOCIAL MEDIA'!$A$2:$A$100,$M3,'SOCIAL MEDIA'!$F$2:$F$100,"&gt;="&amp;P$2,'SOCIAL MEDIA'!$F$2:$F$100,"&lt;="&amp;EOMONTH(P$2,0))
+SUMIFS('INTERNET JOB'!$G$2:$G$100,'INTERNET JOB'!$A$2:$A$100,$M3,'INTERNET JOB'!$F$2:$F$100,"&gt;="&amp;P$2,'INTERNET JOB'!$F$2:$F$100,"&lt;="&amp;EOMONTH(P$2,0))</f>
        <v>0</v>
      </c>
      <c r="Q3" s="266">
        <f>SUMIFS(BOOTHS!$G$2:$G$100,BOOTHS!$A$2:$A$100,$M3,BOOTHS!$F$2:$F$100,"&gt;="&amp;Q$2,BOOTHS!$F$2:$F$100,"&lt;="&amp;EOMONTH(Q$2,0))
+SUMIFS('SOCIAL MEDIA'!$G$2:$G$100,'SOCIAL MEDIA'!$A$2:$A$100,$M3,'SOCIAL MEDIA'!$F$2:$F$100,"&gt;="&amp;Q$2,'SOCIAL MEDIA'!$F$2:$F$100,"&lt;="&amp;EOMONTH(Q$2,0))
+SUMIFS('INTERNET JOB'!$G$2:$G$100,'INTERNET JOB'!$A$2:$A$100,$M3,'INTERNET JOB'!$F$2:$F$100,"&gt;="&amp;Q$2,'INTERNET JOB'!$F$2:$F$100,"&lt;="&amp;EOMONTH(Q$2,0))</f>
        <v>0</v>
      </c>
      <c r="R3" s="266">
        <f>SUMIFS(BOOTHS!$G$2:$G$100,BOOTHS!$A$2:$A$100,$M3,BOOTHS!$F$2:$F$100,"&gt;="&amp;R$2,BOOTHS!$F$2:$F$100,"&lt;="&amp;EOMONTH(R$2,0))
+SUMIFS('SOCIAL MEDIA'!$G$2:$G$100,'SOCIAL MEDIA'!$A$2:$A$100,$M3,'SOCIAL MEDIA'!$F$2:$F$100,"&gt;="&amp;R$2,'SOCIAL MEDIA'!$F$2:$F$100,"&lt;="&amp;EOMONTH(R$2,0))
+SUMIFS('INTERNET JOB'!$G$2:$G$100,'INTERNET JOB'!$A$2:$A$100,$M3,'INTERNET JOB'!$F$2:$F$100,"&gt;="&amp;R$2,'INTERNET JOB'!$F$2:$F$100,"&lt;="&amp;EOMONTH(R$2,0))</f>
        <v>0</v>
      </c>
      <c r="S3" s="266">
        <f>SUMIFS(BOOTHS!$G$2:$G$100,BOOTHS!$A$2:$A$100,$M3,BOOTHS!$F$2:$F$100,"&gt;="&amp;S$2,BOOTHS!$F$2:$F$100,"&lt;="&amp;EOMONTH(S$2,0))
+SUMIFS('SOCIAL MEDIA'!$G$2:$G$100,'SOCIAL MEDIA'!$A$2:$A$100,$M3,'SOCIAL MEDIA'!$F$2:$F$100,"&gt;="&amp;S$2,'SOCIAL MEDIA'!$F$2:$F$100,"&lt;="&amp;EOMONTH(S$2,0))
+SUMIFS('INTERNET JOB'!$G$2:$G$100,'INTERNET JOB'!$A$2:$A$100,$M3,'INTERNET JOB'!$F$2:$F$100,"&gt;="&amp;S$2,'INTERNET JOB'!$F$2:$F$100,"&lt;="&amp;EOMONTH(S$2,0))</f>
        <v>0</v>
      </c>
      <c r="T3" s="266">
        <f>SUMIFS(BOOTHS!$G$2:$G$100,BOOTHS!$A$2:$A$100,$M3,BOOTHS!$F$2:$F$100,"&gt;="&amp;T$2,BOOTHS!$F$2:$F$100,"&lt;="&amp;EOMONTH(T$2,0))
+SUMIFS('SOCIAL MEDIA'!$G$2:$G$100,'SOCIAL MEDIA'!$A$2:$A$100,$M3,'SOCIAL MEDIA'!$F$2:$F$100,"&gt;="&amp;T$2,'SOCIAL MEDIA'!$F$2:$F$100,"&lt;="&amp;EOMONTH(T$2,0))
+SUMIFS('INTERNET JOB'!$G$2:$G$100,'INTERNET JOB'!$A$2:$A$100,$M3,'INTERNET JOB'!$F$2:$F$100,"&gt;="&amp;T$2,'INTERNET JOB'!$F$2:$F$100,"&lt;="&amp;EOMONTH(T$2,0))</f>
        <v>0</v>
      </c>
      <c r="U3" s="266">
        <f>SUMIFS(BOOTHS!$G$2:$G$100,BOOTHS!$A$2:$A$100,$M3,BOOTHS!$F$2:$F$100,"&gt;="&amp;U$2,BOOTHS!$F$2:$F$100,"&lt;="&amp;EOMONTH(U$2,0))
+SUMIFS('SOCIAL MEDIA'!$G$2:$G$100,'SOCIAL MEDIA'!$A$2:$A$100,$M3,'SOCIAL MEDIA'!$F$2:$F$100,"&gt;="&amp;U$2,'SOCIAL MEDIA'!$F$2:$F$100,"&lt;="&amp;EOMONTH(U$2,0))
+SUMIFS('INTERNET JOB'!$G$2:$G$100,'INTERNET JOB'!$A$2:$A$100,$M3,'INTERNET JOB'!$F$2:$F$100,"&gt;="&amp;U$2,'INTERNET JOB'!$F$2:$F$100,"&lt;="&amp;EOMONTH(U$2,0))</f>
        <v>0</v>
      </c>
      <c r="V3" s="266">
        <f>SUMIFS(BOOTHS!$G$2:$G$100,BOOTHS!$A$2:$A$100,$M3,BOOTHS!$F$2:$F$100,"&gt;="&amp;V$2,BOOTHS!$F$2:$F$100,"&lt;="&amp;EOMONTH(V$2,0))
+SUMIFS('SOCIAL MEDIA'!$G$2:$G$100,'SOCIAL MEDIA'!$A$2:$A$100,$M3,'SOCIAL MEDIA'!$F$2:$F$100,"&gt;="&amp;V$2,'SOCIAL MEDIA'!$F$2:$F$100,"&lt;="&amp;EOMONTH(V$2,0))
+SUMIFS('INTERNET JOB'!$G$2:$G$100,'INTERNET JOB'!$A$2:$A$100,$M3,'INTERNET JOB'!$F$2:$F$100,"&gt;="&amp;V$2,'INTERNET JOB'!$F$2:$F$100,"&lt;="&amp;EOMONTH(V$2,0))</f>
        <v>0</v>
      </c>
      <c r="W3" s="266">
        <f>SUMIFS(BOOTHS!$G$2:$G$100,BOOTHS!$A$2:$A$100,$M3,BOOTHS!$F$2:$F$100,"&gt;="&amp;W$2,BOOTHS!$F$2:$F$100,"&lt;="&amp;EOMONTH(W$2,0))
+SUMIFS('SOCIAL MEDIA'!$G$2:$G$100,'SOCIAL MEDIA'!$A$2:$A$100,$M3,'SOCIAL MEDIA'!$F$2:$F$100,"&gt;="&amp;W$2,'SOCIAL MEDIA'!$F$2:$F$100,"&lt;="&amp;EOMONTH(W$2,0))
+SUMIFS('INTERNET JOB'!$G$2:$G$100,'INTERNET JOB'!$A$2:$A$100,$M3,'INTERNET JOB'!$F$2:$F$100,"&gt;="&amp;W$2,'INTERNET JOB'!$F$2:$F$100,"&lt;="&amp;EOMONTH(W$2,0))</f>
        <v>0</v>
      </c>
      <c r="X3" s="266">
        <f>SUMIFS(BOOTHS!$G$2:$G$100,BOOTHS!$A$2:$A$100,$M3,BOOTHS!$F$2:$F$100,"&gt;="&amp;X$2,BOOTHS!$F$2:$F$100,"&lt;="&amp;EOMONTH(X$2,0))
+SUMIFS('SOCIAL MEDIA'!$G$2:$G$100,'SOCIAL MEDIA'!$A$2:$A$100,$M3,'SOCIAL MEDIA'!$F$2:$F$100,"&gt;="&amp;X$2,'SOCIAL MEDIA'!$F$2:$F$100,"&lt;="&amp;EOMONTH(X$2,0))
+SUMIFS('INTERNET JOB'!$G$2:$G$100,'INTERNET JOB'!$A$2:$A$100,$M3,'INTERNET JOB'!$F$2:$F$100,"&gt;="&amp;X$2,'INTERNET JOB'!$F$2:$F$100,"&lt;="&amp;EOMONTH(X$2,0))</f>
        <v>0</v>
      </c>
      <c r="Y3" s="266">
        <f>SUMIFS(BOOTHS!$G$2:$G$100,BOOTHS!$A$2:$A$100,$M3,BOOTHS!$F$2:$F$100,"&gt;="&amp;Y$2,BOOTHS!$F$2:$F$100,"&lt;="&amp;EOMONTH(Y$2,0))
+SUMIFS('SOCIAL MEDIA'!$G$2:$G$100,'SOCIAL MEDIA'!$A$2:$A$100,$M3,'SOCIAL MEDIA'!$F$2:$F$100,"&gt;="&amp;Y$2,'SOCIAL MEDIA'!$F$2:$F$100,"&lt;="&amp;EOMONTH(Y$2,0))
+SUMIFS('INTERNET JOB'!$G$2:$G$100,'INTERNET JOB'!$A$2:$A$100,$M3,'INTERNET JOB'!$F$2:$F$100,"&gt;="&amp;Y$2,'INTERNET JOB'!$F$2:$F$100,"&lt;="&amp;EOMONTH(Y$2,0))</f>
        <v>0</v>
      </c>
      <c r="Z3" s="267">
        <f>SUM(N3:Y3)</f>
        <v>0</v>
      </c>
    </row>
    <row r="4" spans="1:26" x14ac:dyDescent="0.25">
      <c r="A4" s="303" t="s">
        <v>156</v>
      </c>
      <c r="B4" s="304" t="s">
        <v>219</v>
      </c>
      <c r="C4" s="305">
        <f>SUMIF('SOCIAL MEDIA'!$A$2:$A$100,B4,'SOCIAL MEDIA'!$G$2:$G$100)</f>
        <v>0</v>
      </c>
      <c r="D4" s="306">
        <f>SUMIF('SOCIAL MEDIA'!$A$2:$A$100,$B4,'SOCIAL MEDIA'!$J$2:$J$100)</f>
        <v>0</v>
      </c>
      <c r="E4" s="381"/>
      <c r="F4" s="11"/>
      <c r="G4" s="288" t="s">
        <v>274</v>
      </c>
      <c r="H4" s="291" t="s">
        <v>221</v>
      </c>
      <c r="I4" s="292" t="s">
        <v>225</v>
      </c>
      <c r="J4" s="291" t="s">
        <v>236</v>
      </c>
      <c r="K4" s="292" t="s">
        <v>229</v>
      </c>
      <c r="L4" s="260"/>
      <c r="M4" s="265" t="str">
        <f t="shared" ref="M4:M8" si="0">B4</f>
        <v>FAD9F</v>
      </c>
      <c r="N4" s="266">
        <f>SUMIFS(BOOTHS!$G$2:$G$100,BOOTHS!$A$2:$A$100,$M4,BOOTHS!$F$2:$F$100,"&gt;="&amp;N$2,BOOTHS!$F$2:$F$100,"&lt;="&amp;EOMONTH(N$2,0))
+SUMIFS('SOCIAL MEDIA'!$G$2:$G$100,'SOCIAL MEDIA'!$A$2:$A$100,$M4,'SOCIAL MEDIA'!$F$2:$F$100,"&gt;="&amp;N$2,'SOCIAL MEDIA'!$F$2:$F$100,"&lt;="&amp;EOMONTH(N$2,0))
+SUMIFS('INTERNET JOB'!$G$2:$G$100,'INTERNET JOB'!$A$2:$A$100,$M4,'INTERNET JOB'!$F$2:$F$100,"&gt;="&amp;N$2,'INTERNET JOB'!$F$2:$F$100,"&lt;="&amp;EOMONTH(N$2,0))</f>
        <v>0</v>
      </c>
      <c r="O4" s="266">
        <f>SUMIFS(BOOTHS!$G$2:$G$100,BOOTHS!$A$2:$A$100,$M4,BOOTHS!$F$2:$F$100,"&gt;="&amp;O$2,BOOTHS!$F$2:$F$100,"&lt;="&amp;EOMONTH(O$2,0))
+SUMIFS('SOCIAL MEDIA'!$G$2:$G$100,'SOCIAL MEDIA'!$A$2:$A$100,$M4,'SOCIAL MEDIA'!$F$2:$F$100,"&gt;="&amp;O$2,'SOCIAL MEDIA'!$F$2:$F$100,"&lt;="&amp;EOMONTH(O$2,0))
+SUMIFS('INTERNET JOB'!$G$2:$G$100,'INTERNET JOB'!$A$2:$A$100,$M4,'INTERNET JOB'!$F$2:$F$100,"&gt;="&amp;O$2,'INTERNET JOB'!$F$2:$F$100,"&lt;="&amp;EOMONTH(O$2,0))</f>
        <v>0</v>
      </c>
      <c r="P4" s="266">
        <f>SUMIFS(BOOTHS!$G$2:$G$100,BOOTHS!$A$2:$A$100,$M4,BOOTHS!$F$2:$F$100,"&gt;="&amp;P$2,BOOTHS!$F$2:$F$100,"&lt;="&amp;EOMONTH(P$2,0))
+SUMIFS('SOCIAL MEDIA'!$G$2:$G$100,'SOCIAL MEDIA'!$A$2:$A$100,$M4,'SOCIAL MEDIA'!$F$2:$F$100,"&gt;="&amp;P$2,'SOCIAL MEDIA'!$F$2:$F$100,"&lt;="&amp;EOMONTH(P$2,0))
+SUMIFS('INTERNET JOB'!$G$2:$G$100,'INTERNET JOB'!$A$2:$A$100,$M4,'INTERNET JOB'!$F$2:$F$100,"&gt;="&amp;P$2,'INTERNET JOB'!$F$2:$F$100,"&lt;="&amp;EOMONTH(P$2,0))</f>
        <v>0</v>
      </c>
      <c r="Q4" s="266">
        <f>SUMIFS(BOOTHS!$G$2:$G$100,BOOTHS!$A$2:$A$100,$M4,BOOTHS!$F$2:$F$100,"&gt;="&amp;Q$2,BOOTHS!$F$2:$F$100,"&lt;="&amp;EOMONTH(Q$2,0))
+SUMIFS('SOCIAL MEDIA'!$G$2:$G$100,'SOCIAL MEDIA'!$A$2:$A$100,$M4,'SOCIAL MEDIA'!$F$2:$F$100,"&gt;="&amp;Q$2,'SOCIAL MEDIA'!$F$2:$F$100,"&lt;="&amp;EOMONTH(Q$2,0))
+SUMIFS('INTERNET JOB'!$G$2:$G$100,'INTERNET JOB'!$A$2:$A$100,$M4,'INTERNET JOB'!$F$2:$F$100,"&gt;="&amp;Q$2,'INTERNET JOB'!$F$2:$F$100,"&lt;="&amp;EOMONTH(Q$2,0))</f>
        <v>0</v>
      </c>
      <c r="R4" s="266">
        <f>SUMIFS(BOOTHS!$G$2:$G$100,BOOTHS!$A$2:$A$100,$M4,BOOTHS!$F$2:$F$100,"&gt;="&amp;R$2,BOOTHS!$F$2:$F$100,"&lt;="&amp;EOMONTH(R$2,0))
+SUMIFS('SOCIAL MEDIA'!$G$2:$G$100,'SOCIAL MEDIA'!$A$2:$A$100,$M4,'SOCIAL MEDIA'!$F$2:$F$100,"&gt;="&amp;R$2,'SOCIAL MEDIA'!$F$2:$F$100,"&lt;="&amp;EOMONTH(R$2,0))
+SUMIFS('INTERNET JOB'!$G$2:$G$100,'INTERNET JOB'!$A$2:$A$100,$M4,'INTERNET JOB'!$F$2:$F$100,"&gt;="&amp;R$2,'INTERNET JOB'!$F$2:$F$100,"&lt;="&amp;EOMONTH(R$2,0))</f>
        <v>0</v>
      </c>
      <c r="S4" s="266">
        <f>SUMIFS(BOOTHS!$G$2:$G$100,BOOTHS!$A$2:$A$100,$M4,BOOTHS!$F$2:$F$100,"&gt;="&amp;S$2,BOOTHS!$F$2:$F$100,"&lt;="&amp;EOMONTH(S$2,0))
+SUMIFS('SOCIAL MEDIA'!$G$2:$G$100,'SOCIAL MEDIA'!$A$2:$A$100,$M4,'SOCIAL MEDIA'!$F$2:$F$100,"&gt;="&amp;S$2,'SOCIAL MEDIA'!$F$2:$F$100,"&lt;="&amp;EOMONTH(S$2,0))
+SUMIFS('INTERNET JOB'!$G$2:$G$100,'INTERNET JOB'!$A$2:$A$100,$M4,'INTERNET JOB'!$F$2:$F$100,"&gt;="&amp;S$2,'INTERNET JOB'!$F$2:$F$100,"&lt;="&amp;EOMONTH(S$2,0))</f>
        <v>0</v>
      </c>
      <c r="T4" s="266">
        <f>SUMIFS(BOOTHS!$G$2:$G$100,BOOTHS!$A$2:$A$100,$M4,BOOTHS!$F$2:$F$100,"&gt;="&amp;T$2,BOOTHS!$F$2:$F$100,"&lt;="&amp;EOMONTH(T$2,0))
+SUMIFS('SOCIAL MEDIA'!$G$2:$G$100,'SOCIAL MEDIA'!$A$2:$A$100,$M4,'SOCIAL MEDIA'!$F$2:$F$100,"&gt;="&amp;T$2,'SOCIAL MEDIA'!$F$2:$F$100,"&lt;="&amp;EOMONTH(T$2,0))
+SUMIFS('INTERNET JOB'!$G$2:$G$100,'INTERNET JOB'!$A$2:$A$100,$M4,'INTERNET JOB'!$F$2:$F$100,"&gt;="&amp;T$2,'INTERNET JOB'!$F$2:$F$100,"&lt;="&amp;EOMONTH(T$2,0))</f>
        <v>0</v>
      </c>
      <c r="U4" s="266">
        <f>SUMIFS(BOOTHS!$G$2:$G$100,BOOTHS!$A$2:$A$100,$M4,BOOTHS!$F$2:$F$100,"&gt;="&amp;U$2,BOOTHS!$F$2:$F$100,"&lt;="&amp;EOMONTH(U$2,0))
+SUMIFS('SOCIAL MEDIA'!$G$2:$G$100,'SOCIAL MEDIA'!$A$2:$A$100,$M4,'SOCIAL MEDIA'!$F$2:$F$100,"&gt;="&amp;U$2,'SOCIAL MEDIA'!$F$2:$F$100,"&lt;="&amp;EOMONTH(U$2,0))
+SUMIFS('INTERNET JOB'!$G$2:$G$100,'INTERNET JOB'!$A$2:$A$100,$M4,'INTERNET JOB'!$F$2:$F$100,"&gt;="&amp;U$2,'INTERNET JOB'!$F$2:$F$100,"&lt;="&amp;EOMONTH(U$2,0))</f>
        <v>0</v>
      </c>
      <c r="V4" s="266">
        <f>SUMIFS(BOOTHS!$G$2:$G$100,BOOTHS!$A$2:$A$100,$M4,BOOTHS!$F$2:$F$100,"&gt;="&amp;V$2,BOOTHS!$F$2:$F$100,"&lt;="&amp;EOMONTH(V$2,0))
+SUMIFS('SOCIAL MEDIA'!$G$2:$G$100,'SOCIAL MEDIA'!$A$2:$A$100,$M4,'SOCIAL MEDIA'!$F$2:$F$100,"&gt;="&amp;V$2,'SOCIAL MEDIA'!$F$2:$F$100,"&lt;="&amp;EOMONTH(V$2,0))
+SUMIFS('INTERNET JOB'!$G$2:$G$100,'INTERNET JOB'!$A$2:$A$100,$M4,'INTERNET JOB'!$F$2:$F$100,"&gt;="&amp;V$2,'INTERNET JOB'!$F$2:$F$100,"&lt;="&amp;EOMONTH(V$2,0))</f>
        <v>0</v>
      </c>
      <c r="W4" s="266">
        <f>SUMIFS(BOOTHS!$G$2:$G$100,BOOTHS!$A$2:$A$100,$M4,BOOTHS!$F$2:$F$100,"&gt;="&amp;W$2,BOOTHS!$F$2:$F$100,"&lt;="&amp;EOMONTH(W$2,0))
+SUMIFS('SOCIAL MEDIA'!$G$2:$G$100,'SOCIAL MEDIA'!$A$2:$A$100,$M4,'SOCIAL MEDIA'!$F$2:$F$100,"&gt;="&amp;W$2,'SOCIAL MEDIA'!$F$2:$F$100,"&lt;="&amp;EOMONTH(W$2,0))
+SUMIFS('INTERNET JOB'!$G$2:$G$100,'INTERNET JOB'!$A$2:$A$100,$M4,'INTERNET JOB'!$F$2:$F$100,"&gt;="&amp;W$2,'INTERNET JOB'!$F$2:$F$100,"&lt;="&amp;EOMONTH(W$2,0))</f>
        <v>0</v>
      </c>
      <c r="X4" s="266">
        <f>SUMIFS(BOOTHS!$G$2:$G$100,BOOTHS!$A$2:$A$100,$M4,BOOTHS!$F$2:$F$100,"&gt;="&amp;X$2,BOOTHS!$F$2:$F$100,"&lt;="&amp;EOMONTH(X$2,0))
+SUMIFS('SOCIAL MEDIA'!$G$2:$G$100,'SOCIAL MEDIA'!$A$2:$A$100,$M4,'SOCIAL MEDIA'!$F$2:$F$100,"&gt;="&amp;X$2,'SOCIAL MEDIA'!$F$2:$F$100,"&lt;="&amp;EOMONTH(X$2,0))
+SUMIFS('INTERNET JOB'!$G$2:$G$100,'INTERNET JOB'!$A$2:$A$100,$M4,'INTERNET JOB'!$F$2:$F$100,"&gt;="&amp;X$2,'INTERNET JOB'!$F$2:$F$100,"&lt;="&amp;EOMONTH(X$2,0))</f>
        <v>0</v>
      </c>
      <c r="Y4" s="268">
        <f>SUMIFS(BOOTHS!$G$2:$G$100,BOOTHS!$A$2:$A$100,$M4,BOOTHS!$F$2:$F$100,"&gt;="&amp;Y$2,BOOTHS!$F$2:$F$100,"&lt;="&amp;EOMONTH(Y$2,0))
+SUMIFS('SOCIAL MEDIA'!$G$2:$G$100,'SOCIAL MEDIA'!$A$2:$A$100,$M4,'SOCIAL MEDIA'!$F$2:$F$100,"&gt;="&amp;Y$2,'SOCIAL MEDIA'!$F$2:$F$100,"&lt;="&amp;EOMONTH(Y$2,0))
+SUMIFS('INTERNET JOB'!$G$2:$G$100,'INTERNET JOB'!$A$2:$A$100,$M4,'INTERNET JOB'!$F$2:$F$100,"&gt;="&amp;Y$2,'INTERNET JOB'!$F$2:$F$100,"&lt;="&amp;EOMONTH(Y$2,0))</f>
        <v>0</v>
      </c>
      <c r="Z4" s="267">
        <f t="shared" ref="Z4:Z18" si="1">SUM(N4:Y4)</f>
        <v>0</v>
      </c>
    </row>
    <row r="5" spans="1:26" x14ac:dyDescent="0.25">
      <c r="A5" s="303" t="s">
        <v>158</v>
      </c>
      <c r="B5" s="304" t="s">
        <v>221</v>
      </c>
      <c r="C5" s="305">
        <f>SUMIF('SOCIAL MEDIA'!$A$2:$A$100,B5,'SOCIAL MEDIA'!$G$2:$G$100)</f>
        <v>0</v>
      </c>
      <c r="D5" s="306">
        <f>SUMIF('SOCIAL MEDIA'!$A$2:$A$100,$B5,'SOCIAL MEDIA'!$J$2:$J$100)</f>
        <v>0</v>
      </c>
      <c r="E5" s="381"/>
      <c r="F5" s="11"/>
      <c r="G5" s="288" t="s">
        <v>275</v>
      </c>
      <c r="H5" s="291" t="s">
        <v>221</v>
      </c>
      <c r="I5" s="292" t="s">
        <v>225</v>
      </c>
      <c r="J5" s="291" t="s">
        <v>236</v>
      </c>
      <c r="K5" s="292" t="s">
        <v>229</v>
      </c>
      <c r="L5" s="260"/>
      <c r="M5" s="265" t="str">
        <f t="shared" si="0"/>
        <v>FAD9S</v>
      </c>
      <c r="N5" s="266">
        <f>SUMIFS(BOOTHS!$G$2:$G$100,BOOTHS!$A$2:$A$100,$M5,BOOTHS!$F$2:$F$100,"&gt;="&amp;N$2,BOOTHS!$F$2:$F$100,"&lt;="&amp;EOMONTH(N$2,0))
+SUMIFS('SOCIAL MEDIA'!$G$2:$G$100,'SOCIAL MEDIA'!$A$2:$A$100,$M5,'SOCIAL MEDIA'!$F$2:$F$100,"&gt;="&amp;N$2,'SOCIAL MEDIA'!$F$2:$F$100,"&lt;="&amp;EOMONTH(N$2,0))
+SUMIFS('INTERNET JOB'!$G$2:$G$100,'INTERNET JOB'!$A$2:$A$100,$M5,'INTERNET JOB'!$F$2:$F$100,"&gt;="&amp;N$2,'INTERNET JOB'!$F$2:$F$100,"&lt;="&amp;EOMONTH(N$2,0))</f>
        <v>0</v>
      </c>
      <c r="O5" s="266">
        <f>SUMIFS(BOOTHS!$G$2:$G$100,BOOTHS!$A$2:$A$100,$M5,BOOTHS!$F$2:$F$100,"&gt;="&amp;O$2,BOOTHS!$F$2:$F$100,"&lt;="&amp;EOMONTH(O$2,0))
+SUMIFS('SOCIAL MEDIA'!$G$2:$G$100,'SOCIAL MEDIA'!$A$2:$A$100,$M5,'SOCIAL MEDIA'!$F$2:$F$100,"&gt;="&amp;O$2,'SOCIAL MEDIA'!$F$2:$F$100,"&lt;="&amp;EOMONTH(O$2,0))
+SUMIFS('INTERNET JOB'!$G$2:$G$100,'INTERNET JOB'!$A$2:$A$100,$M5,'INTERNET JOB'!$F$2:$F$100,"&gt;="&amp;O$2,'INTERNET JOB'!$F$2:$F$100,"&lt;="&amp;EOMONTH(O$2,0))</f>
        <v>0</v>
      </c>
      <c r="P5" s="266">
        <f>SUMIFS(BOOTHS!$G$2:$G$100,BOOTHS!$A$2:$A$100,$M5,BOOTHS!$F$2:$F$100,"&gt;="&amp;P$2,BOOTHS!$F$2:$F$100,"&lt;="&amp;EOMONTH(P$2,0))
+SUMIFS('SOCIAL MEDIA'!$G$2:$G$100,'SOCIAL MEDIA'!$A$2:$A$100,$M5,'SOCIAL MEDIA'!$F$2:$F$100,"&gt;="&amp;P$2,'SOCIAL MEDIA'!$F$2:$F$100,"&lt;="&amp;EOMONTH(P$2,0))
+SUMIFS('INTERNET JOB'!$G$2:$G$100,'INTERNET JOB'!$A$2:$A$100,$M5,'INTERNET JOB'!$F$2:$F$100,"&gt;="&amp;P$2,'INTERNET JOB'!$F$2:$F$100,"&lt;="&amp;EOMONTH(P$2,0))</f>
        <v>0</v>
      </c>
      <c r="Q5" s="266">
        <f>SUMIFS(BOOTHS!$G$2:$G$100,BOOTHS!$A$2:$A$100,$M5,BOOTHS!$F$2:$F$100,"&gt;="&amp;Q$2,BOOTHS!$F$2:$F$100,"&lt;="&amp;EOMONTH(Q$2,0))
+SUMIFS('SOCIAL MEDIA'!$G$2:$G$100,'SOCIAL MEDIA'!$A$2:$A$100,$M5,'SOCIAL MEDIA'!$F$2:$F$100,"&gt;="&amp;Q$2,'SOCIAL MEDIA'!$F$2:$F$100,"&lt;="&amp;EOMONTH(Q$2,0))
+SUMIFS('INTERNET JOB'!$G$2:$G$100,'INTERNET JOB'!$A$2:$A$100,$M5,'INTERNET JOB'!$F$2:$F$100,"&gt;="&amp;Q$2,'INTERNET JOB'!$F$2:$F$100,"&lt;="&amp;EOMONTH(Q$2,0))</f>
        <v>0</v>
      </c>
      <c r="R5" s="266">
        <f>SUMIFS(BOOTHS!$G$2:$G$100,BOOTHS!$A$2:$A$100,$M5,BOOTHS!$F$2:$F$100,"&gt;="&amp;R$2,BOOTHS!$F$2:$F$100,"&lt;="&amp;EOMONTH(R$2,0))
+SUMIFS('SOCIAL MEDIA'!$G$2:$G$100,'SOCIAL MEDIA'!$A$2:$A$100,$M5,'SOCIAL MEDIA'!$F$2:$F$100,"&gt;="&amp;R$2,'SOCIAL MEDIA'!$F$2:$F$100,"&lt;="&amp;EOMONTH(R$2,0))
+SUMIFS('INTERNET JOB'!$G$2:$G$100,'INTERNET JOB'!$A$2:$A$100,$M5,'INTERNET JOB'!$F$2:$F$100,"&gt;="&amp;R$2,'INTERNET JOB'!$F$2:$F$100,"&lt;="&amp;EOMONTH(R$2,0))</f>
        <v>0</v>
      </c>
      <c r="S5" s="266">
        <f>SUMIFS(BOOTHS!$G$2:$G$100,BOOTHS!$A$2:$A$100,$M5,BOOTHS!$F$2:$F$100,"&gt;="&amp;S$2,BOOTHS!$F$2:$F$100,"&lt;="&amp;EOMONTH(S$2,0))
+SUMIFS('SOCIAL MEDIA'!$G$2:$G$100,'SOCIAL MEDIA'!$A$2:$A$100,$M5,'SOCIAL MEDIA'!$F$2:$F$100,"&gt;="&amp;S$2,'SOCIAL MEDIA'!$F$2:$F$100,"&lt;="&amp;EOMONTH(S$2,0))
+SUMIFS('INTERNET JOB'!$G$2:$G$100,'INTERNET JOB'!$A$2:$A$100,$M5,'INTERNET JOB'!$F$2:$F$100,"&gt;="&amp;S$2,'INTERNET JOB'!$F$2:$F$100,"&lt;="&amp;EOMONTH(S$2,0))</f>
        <v>0</v>
      </c>
      <c r="T5" s="266">
        <f>SUMIFS(BOOTHS!$G$2:$G$100,BOOTHS!$A$2:$A$100,$M5,BOOTHS!$F$2:$F$100,"&gt;="&amp;T$2,BOOTHS!$F$2:$F$100,"&lt;="&amp;EOMONTH(T$2,0))
+SUMIFS('SOCIAL MEDIA'!$G$2:$G$100,'SOCIAL MEDIA'!$A$2:$A$100,$M5,'SOCIAL MEDIA'!$F$2:$F$100,"&gt;="&amp;T$2,'SOCIAL MEDIA'!$F$2:$F$100,"&lt;="&amp;EOMONTH(T$2,0))
+SUMIFS('INTERNET JOB'!$G$2:$G$100,'INTERNET JOB'!$A$2:$A$100,$M5,'INTERNET JOB'!$F$2:$F$100,"&gt;="&amp;T$2,'INTERNET JOB'!$F$2:$F$100,"&lt;="&amp;EOMONTH(T$2,0))</f>
        <v>0</v>
      </c>
      <c r="U5" s="266">
        <f>SUMIFS(BOOTHS!$G$2:$G$100,BOOTHS!$A$2:$A$100,$M5,BOOTHS!$F$2:$F$100,"&gt;="&amp;U$2,BOOTHS!$F$2:$F$100,"&lt;="&amp;EOMONTH(U$2,0))
+SUMIFS('SOCIAL MEDIA'!$G$2:$G$100,'SOCIAL MEDIA'!$A$2:$A$100,$M5,'SOCIAL MEDIA'!$F$2:$F$100,"&gt;="&amp;U$2,'SOCIAL MEDIA'!$F$2:$F$100,"&lt;="&amp;EOMONTH(U$2,0))
+SUMIFS('INTERNET JOB'!$G$2:$G$100,'INTERNET JOB'!$A$2:$A$100,$M5,'INTERNET JOB'!$F$2:$F$100,"&gt;="&amp;U$2,'INTERNET JOB'!$F$2:$F$100,"&lt;="&amp;EOMONTH(U$2,0))</f>
        <v>0</v>
      </c>
      <c r="V5" s="266">
        <f>SUMIFS(BOOTHS!$G$2:$G$100,BOOTHS!$A$2:$A$100,$M5,BOOTHS!$F$2:$F$100,"&gt;="&amp;V$2,BOOTHS!$F$2:$F$100,"&lt;="&amp;EOMONTH(V$2,0))
+SUMIFS('SOCIAL MEDIA'!$G$2:$G$100,'SOCIAL MEDIA'!$A$2:$A$100,$M5,'SOCIAL MEDIA'!$F$2:$F$100,"&gt;="&amp;V$2,'SOCIAL MEDIA'!$F$2:$F$100,"&lt;="&amp;EOMONTH(V$2,0))
+SUMIFS('INTERNET JOB'!$G$2:$G$100,'INTERNET JOB'!$A$2:$A$100,$M5,'INTERNET JOB'!$F$2:$F$100,"&gt;="&amp;V$2,'INTERNET JOB'!$F$2:$F$100,"&lt;="&amp;EOMONTH(V$2,0))</f>
        <v>0</v>
      </c>
      <c r="W5" s="266">
        <f>SUMIFS(BOOTHS!$G$2:$G$100,BOOTHS!$A$2:$A$100,$M5,BOOTHS!$F$2:$F$100,"&gt;="&amp;W$2,BOOTHS!$F$2:$F$100,"&lt;="&amp;EOMONTH(W$2,0))
+SUMIFS('SOCIAL MEDIA'!$G$2:$G$100,'SOCIAL MEDIA'!$A$2:$A$100,$M5,'SOCIAL MEDIA'!$F$2:$F$100,"&gt;="&amp;W$2,'SOCIAL MEDIA'!$F$2:$F$100,"&lt;="&amp;EOMONTH(W$2,0))
+SUMIFS('INTERNET JOB'!$G$2:$G$100,'INTERNET JOB'!$A$2:$A$100,$M5,'INTERNET JOB'!$F$2:$F$100,"&gt;="&amp;W$2,'INTERNET JOB'!$F$2:$F$100,"&lt;="&amp;EOMONTH(W$2,0))</f>
        <v>0</v>
      </c>
      <c r="X5" s="266">
        <f>SUMIFS(BOOTHS!$G$2:$G$100,BOOTHS!$A$2:$A$100,$M5,BOOTHS!$F$2:$F$100,"&gt;="&amp;X$2,BOOTHS!$F$2:$F$100,"&lt;="&amp;EOMONTH(X$2,0))
+SUMIFS('SOCIAL MEDIA'!$G$2:$G$100,'SOCIAL MEDIA'!$A$2:$A$100,$M5,'SOCIAL MEDIA'!$F$2:$F$100,"&gt;="&amp;X$2,'SOCIAL MEDIA'!$F$2:$F$100,"&lt;="&amp;EOMONTH(X$2,0))
+SUMIFS('INTERNET JOB'!$G$2:$G$100,'INTERNET JOB'!$A$2:$A$100,$M5,'INTERNET JOB'!$F$2:$F$100,"&gt;="&amp;X$2,'INTERNET JOB'!$F$2:$F$100,"&lt;="&amp;EOMONTH(X$2,0))</f>
        <v>0</v>
      </c>
      <c r="Y5" s="268">
        <f>SUMIFS(BOOTHS!$G$2:$G$100,BOOTHS!$A$2:$A$100,$M5,BOOTHS!$F$2:$F$100,"&gt;="&amp;Y$2,BOOTHS!$F$2:$F$100,"&lt;="&amp;EOMONTH(Y$2,0))
+SUMIFS('SOCIAL MEDIA'!$G$2:$G$100,'SOCIAL MEDIA'!$A$2:$A$100,$M5,'SOCIAL MEDIA'!$F$2:$F$100,"&gt;="&amp;Y$2,'SOCIAL MEDIA'!$F$2:$F$100,"&lt;="&amp;EOMONTH(Y$2,0))
+SUMIFS('INTERNET JOB'!$G$2:$G$100,'INTERNET JOB'!$A$2:$A$100,$M5,'INTERNET JOB'!$F$2:$F$100,"&gt;="&amp;Y$2,'INTERNET JOB'!$F$2:$F$100,"&lt;="&amp;EOMONTH(Y$2,0))</f>
        <v>0</v>
      </c>
      <c r="Z5" s="267">
        <f t="shared" si="1"/>
        <v>0</v>
      </c>
    </row>
    <row r="6" spans="1:26" x14ac:dyDescent="0.25">
      <c r="A6" s="303" t="s">
        <v>160</v>
      </c>
      <c r="B6" s="304" t="s">
        <v>223</v>
      </c>
      <c r="C6" s="305">
        <f>SUMIF('SOCIAL MEDIA'!$A$2:$A$100,B6,'SOCIAL MEDIA'!$G$2:$G$100)</f>
        <v>0</v>
      </c>
      <c r="D6" s="306">
        <f>SUMIF('SOCIAL MEDIA'!$A$2:$A$100,$B6,'SOCIAL MEDIA'!$J$2:$J$100)</f>
        <v>0</v>
      </c>
      <c r="E6" s="381"/>
      <c r="F6" s="11"/>
      <c r="G6" s="288" t="s">
        <v>276</v>
      </c>
      <c r="H6" s="291" t="s">
        <v>221</v>
      </c>
      <c r="I6" s="292" t="s">
        <v>225</v>
      </c>
      <c r="J6" s="291" t="s">
        <v>236</v>
      </c>
      <c r="K6" s="292" t="s">
        <v>229</v>
      </c>
      <c r="L6" s="260"/>
      <c r="M6" s="265" t="str">
        <f t="shared" si="0"/>
        <v>FAD97</v>
      </c>
      <c r="N6" s="266">
        <f>SUMIFS(BOOTHS!$G$2:$G$100,BOOTHS!$A$2:$A$100,$M6,BOOTHS!$F$2:$F$100,"&gt;="&amp;N$2,BOOTHS!$F$2:$F$100,"&lt;="&amp;EOMONTH(N$2,0))
+SUMIFS('SOCIAL MEDIA'!$G$2:$G$100,'SOCIAL MEDIA'!$A$2:$A$100,$M6,'SOCIAL MEDIA'!$F$2:$F$100,"&gt;="&amp;N$2,'SOCIAL MEDIA'!$F$2:$F$100,"&lt;="&amp;EOMONTH(N$2,0))
+SUMIFS('INTERNET JOB'!$G$2:$G$100,'INTERNET JOB'!$A$2:$A$100,$M6,'INTERNET JOB'!$F$2:$F$100,"&gt;="&amp;N$2,'INTERNET JOB'!$F$2:$F$100,"&lt;="&amp;EOMONTH(N$2,0))</f>
        <v>0</v>
      </c>
      <c r="O6" s="266">
        <f>SUMIFS(BOOTHS!$G$2:$G$100,BOOTHS!$A$2:$A$100,$M6,BOOTHS!$F$2:$F$100,"&gt;="&amp;O$2,BOOTHS!$F$2:$F$100,"&lt;="&amp;EOMONTH(O$2,0))
+SUMIFS('SOCIAL MEDIA'!$G$2:$G$100,'SOCIAL MEDIA'!$A$2:$A$100,$M6,'SOCIAL MEDIA'!$F$2:$F$100,"&gt;="&amp;O$2,'SOCIAL MEDIA'!$F$2:$F$100,"&lt;="&amp;EOMONTH(O$2,0))
+SUMIFS('INTERNET JOB'!$G$2:$G$100,'INTERNET JOB'!$A$2:$A$100,$M6,'INTERNET JOB'!$F$2:$F$100,"&gt;="&amp;O$2,'INTERNET JOB'!$F$2:$F$100,"&lt;="&amp;EOMONTH(O$2,0))</f>
        <v>0</v>
      </c>
      <c r="P6" s="266">
        <f>SUMIFS(BOOTHS!$G$2:$G$100,BOOTHS!$A$2:$A$100,$M6,BOOTHS!$F$2:$F$100,"&gt;="&amp;P$2,BOOTHS!$F$2:$F$100,"&lt;="&amp;EOMONTH(P$2,0))
+SUMIFS('SOCIAL MEDIA'!$G$2:$G$100,'SOCIAL MEDIA'!$A$2:$A$100,$M6,'SOCIAL MEDIA'!$F$2:$F$100,"&gt;="&amp;P$2,'SOCIAL MEDIA'!$F$2:$F$100,"&lt;="&amp;EOMONTH(P$2,0))
+SUMIFS('INTERNET JOB'!$G$2:$G$100,'INTERNET JOB'!$A$2:$A$100,$M6,'INTERNET JOB'!$F$2:$F$100,"&gt;="&amp;P$2,'INTERNET JOB'!$F$2:$F$100,"&lt;="&amp;EOMONTH(P$2,0))</f>
        <v>0</v>
      </c>
      <c r="Q6" s="266">
        <f>SUMIFS(BOOTHS!$G$2:$G$100,BOOTHS!$A$2:$A$100,$M6,BOOTHS!$F$2:$F$100,"&gt;="&amp;Q$2,BOOTHS!$F$2:$F$100,"&lt;="&amp;EOMONTH(Q$2,0))
+SUMIFS('SOCIAL MEDIA'!$G$2:$G$100,'SOCIAL MEDIA'!$A$2:$A$100,$M6,'SOCIAL MEDIA'!$F$2:$F$100,"&gt;="&amp;Q$2,'SOCIAL MEDIA'!$F$2:$F$100,"&lt;="&amp;EOMONTH(Q$2,0))
+SUMIFS('INTERNET JOB'!$G$2:$G$100,'INTERNET JOB'!$A$2:$A$100,$M6,'INTERNET JOB'!$F$2:$F$100,"&gt;="&amp;Q$2,'INTERNET JOB'!$F$2:$F$100,"&lt;="&amp;EOMONTH(Q$2,0))</f>
        <v>0</v>
      </c>
      <c r="R6" s="266">
        <f>SUMIFS(BOOTHS!$G$2:$G$100,BOOTHS!$A$2:$A$100,$M6,BOOTHS!$F$2:$F$100,"&gt;="&amp;R$2,BOOTHS!$F$2:$F$100,"&lt;="&amp;EOMONTH(R$2,0))
+SUMIFS('SOCIAL MEDIA'!$G$2:$G$100,'SOCIAL MEDIA'!$A$2:$A$100,$M6,'SOCIAL MEDIA'!$F$2:$F$100,"&gt;="&amp;R$2,'SOCIAL MEDIA'!$F$2:$F$100,"&lt;="&amp;EOMONTH(R$2,0))
+SUMIFS('INTERNET JOB'!$G$2:$G$100,'INTERNET JOB'!$A$2:$A$100,$M6,'INTERNET JOB'!$F$2:$F$100,"&gt;="&amp;R$2,'INTERNET JOB'!$F$2:$F$100,"&lt;="&amp;EOMONTH(R$2,0))</f>
        <v>0</v>
      </c>
      <c r="S6" s="266">
        <f>SUMIFS(BOOTHS!$G$2:$G$100,BOOTHS!$A$2:$A$100,$M6,BOOTHS!$F$2:$F$100,"&gt;="&amp;S$2,BOOTHS!$F$2:$F$100,"&lt;="&amp;EOMONTH(S$2,0))
+SUMIFS('SOCIAL MEDIA'!$G$2:$G$100,'SOCIAL MEDIA'!$A$2:$A$100,$M6,'SOCIAL MEDIA'!$F$2:$F$100,"&gt;="&amp;S$2,'SOCIAL MEDIA'!$F$2:$F$100,"&lt;="&amp;EOMONTH(S$2,0))
+SUMIFS('INTERNET JOB'!$G$2:$G$100,'INTERNET JOB'!$A$2:$A$100,$M6,'INTERNET JOB'!$F$2:$F$100,"&gt;="&amp;S$2,'INTERNET JOB'!$F$2:$F$100,"&lt;="&amp;EOMONTH(S$2,0))</f>
        <v>0</v>
      </c>
      <c r="T6" s="266">
        <f>SUMIFS(BOOTHS!$G$2:$G$100,BOOTHS!$A$2:$A$100,$M6,BOOTHS!$F$2:$F$100,"&gt;="&amp;T$2,BOOTHS!$F$2:$F$100,"&lt;="&amp;EOMONTH(T$2,0))
+SUMIFS('SOCIAL MEDIA'!$G$2:$G$100,'SOCIAL MEDIA'!$A$2:$A$100,$M6,'SOCIAL MEDIA'!$F$2:$F$100,"&gt;="&amp;T$2,'SOCIAL MEDIA'!$F$2:$F$100,"&lt;="&amp;EOMONTH(T$2,0))
+SUMIFS('INTERNET JOB'!$G$2:$G$100,'INTERNET JOB'!$A$2:$A$100,$M6,'INTERNET JOB'!$F$2:$F$100,"&gt;="&amp;T$2,'INTERNET JOB'!$F$2:$F$100,"&lt;="&amp;EOMONTH(T$2,0))</f>
        <v>0</v>
      </c>
      <c r="U6" s="266">
        <f>SUMIFS(BOOTHS!$G$2:$G$100,BOOTHS!$A$2:$A$100,$M6,BOOTHS!$F$2:$F$100,"&gt;="&amp;U$2,BOOTHS!$F$2:$F$100,"&lt;="&amp;EOMONTH(U$2,0))
+SUMIFS('SOCIAL MEDIA'!$G$2:$G$100,'SOCIAL MEDIA'!$A$2:$A$100,$M6,'SOCIAL MEDIA'!$F$2:$F$100,"&gt;="&amp;U$2,'SOCIAL MEDIA'!$F$2:$F$100,"&lt;="&amp;EOMONTH(U$2,0))
+SUMIFS('INTERNET JOB'!$G$2:$G$100,'INTERNET JOB'!$A$2:$A$100,$M6,'INTERNET JOB'!$F$2:$F$100,"&gt;="&amp;U$2,'INTERNET JOB'!$F$2:$F$100,"&lt;="&amp;EOMONTH(U$2,0))</f>
        <v>0</v>
      </c>
      <c r="V6" s="266">
        <f>SUMIFS(BOOTHS!$G$2:$G$100,BOOTHS!$A$2:$A$100,$M6,BOOTHS!$F$2:$F$100,"&gt;="&amp;V$2,BOOTHS!$F$2:$F$100,"&lt;="&amp;EOMONTH(V$2,0))
+SUMIFS('SOCIAL MEDIA'!$G$2:$G$100,'SOCIAL MEDIA'!$A$2:$A$100,$M6,'SOCIAL MEDIA'!$F$2:$F$100,"&gt;="&amp;V$2,'SOCIAL MEDIA'!$F$2:$F$100,"&lt;="&amp;EOMONTH(V$2,0))
+SUMIFS('INTERNET JOB'!$G$2:$G$100,'INTERNET JOB'!$A$2:$A$100,$M6,'INTERNET JOB'!$F$2:$F$100,"&gt;="&amp;V$2,'INTERNET JOB'!$F$2:$F$100,"&lt;="&amp;EOMONTH(V$2,0))</f>
        <v>0</v>
      </c>
      <c r="W6" s="266">
        <f>SUMIFS(BOOTHS!$G$2:$G$100,BOOTHS!$A$2:$A$100,$M6,BOOTHS!$F$2:$F$100,"&gt;="&amp;W$2,BOOTHS!$F$2:$F$100,"&lt;="&amp;EOMONTH(W$2,0))
+SUMIFS('SOCIAL MEDIA'!$G$2:$G$100,'SOCIAL MEDIA'!$A$2:$A$100,$M6,'SOCIAL MEDIA'!$F$2:$F$100,"&gt;="&amp;W$2,'SOCIAL MEDIA'!$F$2:$F$100,"&lt;="&amp;EOMONTH(W$2,0))
+SUMIFS('INTERNET JOB'!$G$2:$G$100,'INTERNET JOB'!$A$2:$A$100,$M6,'INTERNET JOB'!$F$2:$F$100,"&gt;="&amp;W$2,'INTERNET JOB'!$F$2:$F$100,"&lt;="&amp;EOMONTH(W$2,0))</f>
        <v>0</v>
      </c>
      <c r="X6" s="266">
        <f>SUMIFS(BOOTHS!$G$2:$G$100,BOOTHS!$A$2:$A$100,$M6,BOOTHS!$F$2:$F$100,"&gt;="&amp;X$2,BOOTHS!$F$2:$F$100,"&lt;="&amp;EOMONTH(X$2,0))
+SUMIFS('SOCIAL MEDIA'!$G$2:$G$100,'SOCIAL MEDIA'!$A$2:$A$100,$M6,'SOCIAL MEDIA'!$F$2:$F$100,"&gt;="&amp;X$2,'SOCIAL MEDIA'!$F$2:$F$100,"&lt;="&amp;EOMONTH(X$2,0))
+SUMIFS('INTERNET JOB'!$G$2:$G$100,'INTERNET JOB'!$A$2:$A$100,$M6,'INTERNET JOB'!$F$2:$F$100,"&gt;="&amp;X$2,'INTERNET JOB'!$F$2:$F$100,"&lt;="&amp;EOMONTH(X$2,0))</f>
        <v>0</v>
      </c>
      <c r="Y6" s="268">
        <f>SUMIFS(BOOTHS!$G$2:$G$100,BOOTHS!$A$2:$A$100,$M6,BOOTHS!$F$2:$F$100,"&gt;="&amp;Y$2,BOOTHS!$F$2:$F$100,"&lt;="&amp;EOMONTH(Y$2,0))
+SUMIFS('SOCIAL MEDIA'!$G$2:$G$100,'SOCIAL MEDIA'!$A$2:$A$100,$M6,'SOCIAL MEDIA'!$F$2:$F$100,"&gt;="&amp;Y$2,'SOCIAL MEDIA'!$F$2:$F$100,"&lt;="&amp;EOMONTH(Y$2,0))
+SUMIFS('INTERNET JOB'!$G$2:$G$100,'INTERNET JOB'!$A$2:$A$100,$M6,'INTERNET JOB'!$F$2:$F$100,"&gt;="&amp;Y$2,'INTERNET JOB'!$F$2:$F$100,"&lt;="&amp;EOMONTH(Y$2,0))</f>
        <v>0</v>
      </c>
      <c r="Z6" s="267">
        <f t="shared" si="1"/>
        <v>0</v>
      </c>
    </row>
    <row r="7" spans="1:26" x14ac:dyDescent="0.25">
      <c r="A7" s="303" t="s">
        <v>162</v>
      </c>
      <c r="B7" s="304" t="s">
        <v>222</v>
      </c>
      <c r="C7" s="305">
        <f>SUMIF('SOCIAL MEDIA'!$A$2:$A$100,B7,'SOCIAL MEDIA'!$G$2:$G$100)</f>
        <v>0</v>
      </c>
      <c r="D7" s="306">
        <f>SUMIF('SOCIAL MEDIA'!$A$2:$A$100,$B7,'SOCIAL MEDIA'!$J$2:$J$100)</f>
        <v>0</v>
      </c>
      <c r="E7" s="381"/>
      <c r="F7" s="11"/>
      <c r="G7" s="288" t="s">
        <v>125</v>
      </c>
      <c r="H7" s="291" t="s">
        <v>219</v>
      </c>
      <c r="I7" s="292" t="s">
        <v>224</v>
      </c>
      <c r="J7" s="291" t="s">
        <v>231</v>
      </c>
      <c r="K7" s="292" t="s">
        <v>237</v>
      </c>
      <c r="L7" s="260"/>
      <c r="M7" s="265" t="str">
        <f t="shared" si="0"/>
        <v>FAD9G</v>
      </c>
      <c r="N7" s="266">
        <f>SUMIFS(BOOTHS!$G$2:$G$100,BOOTHS!$A$2:$A$100,$M7,BOOTHS!$F$2:$F$100,"&gt;="&amp;N$2,BOOTHS!$F$2:$F$100,"&lt;="&amp;EOMONTH(N$2,0))
+SUMIFS('SOCIAL MEDIA'!$G$2:$G$100,'SOCIAL MEDIA'!$A$2:$A$100,$M7,'SOCIAL MEDIA'!$F$2:$F$100,"&gt;="&amp;N$2,'SOCIAL MEDIA'!$F$2:$F$100,"&lt;="&amp;EOMONTH(N$2,0))
+SUMIFS('INTERNET JOB'!$G$2:$G$100,'INTERNET JOB'!$A$2:$A$100,$M7,'INTERNET JOB'!$F$2:$F$100,"&gt;="&amp;N$2,'INTERNET JOB'!$F$2:$F$100,"&lt;="&amp;EOMONTH(N$2,0))</f>
        <v>0</v>
      </c>
      <c r="O7" s="266">
        <f>SUMIFS(BOOTHS!$G$2:$G$100,BOOTHS!$A$2:$A$100,$M7,BOOTHS!$F$2:$F$100,"&gt;="&amp;O$2,BOOTHS!$F$2:$F$100,"&lt;="&amp;EOMONTH(O$2,0))
+SUMIFS('SOCIAL MEDIA'!$G$2:$G$100,'SOCIAL MEDIA'!$A$2:$A$100,$M7,'SOCIAL MEDIA'!$F$2:$F$100,"&gt;="&amp;O$2,'SOCIAL MEDIA'!$F$2:$F$100,"&lt;="&amp;EOMONTH(O$2,0))
+SUMIFS('INTERNET JOB'!$G$2:$G$100,'INTERNET JOB'!$A$2:$A$100,$M7,'INTERNET JOB'!$F$2:$F$100,"&gt;="&amp;O$2,'INTERNET JOB'!$F$2:$F$100,"&lt;="&amp;EOMONTH(O$2,0))</f>
        <v>0</v>
      </c>
      <c r="P7" s="266">
        <f>SUMIFS(BOOTHS!$G$2:$G$100,BOOTHS!$A$2:$A$100,$M7,BOOTHS!$F$2:$F$100,"&gt;="&amp;P$2,BOOTHS!$F$2:$F$100,"&lt;="&amp;EOMONTH(P$2,0))
+SUMIFS('SOCIAL MEDIA'!$G$2:$G$100,'SOCIAL MEDIA'!$A$2:$A$100,$M7,'SOCIAL MEDIA'!$F$2:$F$100,"&gt;="&amp;P$2,'SOCIAL MEDIA'!$F$2:$F$100,"&lt;="&amp;EOMONTH(P$2,0))
+SUMIFS('INTERNET JOB'!$G$2:$G$100,'INTERNET JOB'!$A$2:$A$100,$M7,'INTERNET JOB'!$F$2:$F$100,"&gt;="&amp;P$2,'INTERNET JOB'!$F$2:$F$100,"&lt;="&amp;EOMONTH(P$2,0))</f>
        <v>0</v>
      </c>
      <c r="Q7" s="266">
        <f>SUMIFS(BOOTHS!$G$2:$G$100,BOOTHS!$A$2:$A$100,$M7,BOOTHS!$F$2:$F$100,"&gt;="&amp;Q$2,BOOTHS!$F$2:$F$100,"&lt;="&amp;EOMONTH(Q$2,0))
+SUMIFS('SOCIAL MEDIA'!$G$2:$G$100,'SOCIAL MEDIA'!$A$2:$A$100,$M7,'SOCIAL MEDIA'!$F$2:$F$100,"&gt;="&amp;Q$2,'SOCIAL MEDIA'!$F$2:$F$100,"&lt;="&amp;EOMONTH(Q$2,0))
+SUMIFS('INTERNET JOB'!$G$2:$G$100,'INTERNET JOB'!$A$2:$A$100,$M7,'INTERNET JOB'!$F$2:$F$100,"&gt;="&amp;Q$2,'INTERNET JOB'!$F$2:$F$100,"&lt;="&amp;EOMONTH(Q$2,0))</f>
        <v>0</v>
      </c>
      <c r="R7" s="266">
        <f>SUMIFS(BOOTHS!$G$2:$G$100,BOOTHS!$A$2:$A$100,$M7,BOOTHS!$F$2:$F$100,"&gt;="&amp;R$2,BOOTHS!$F$2:$F$100,"&lt;="&amp;EOMONTH(R$2,0))
+SUMIFS('SOCIAL MEDIA'!$G$2:$G$100,'SOCIAL MEDIA'!$A$2:$A$100,$M7,'SOCIAL MEDIA'!$F$2:$F$100,"&gt;="&amp;R$2,'SOCIAL MEDIA'!$F$2:$F$100,"&lt;="&amp;EOMONTH(R$2,0))
+SUMIFS('INTERNET JOB'!$G$2:$G$100,'INTERNET JOB'!$A$2:$A$100,$M7,'INTERNET JOB'!$F$2:$F$100,"&gt;="&amp;R$2,'INTERNET JOB'!$F$2:$F$100,"&lt;="&amp;EOMONTH(R$2,0))</f>
        <v>0</v>
      </c>
      <c r="S7" s="266">
        <f>SUMIFS(BOOTHS!$G$2:$G$100,BOOTHS!$A$2:$A$100,$M7,BOOTHS!$F$2:$F$100,"&gt;="&amp;S$2,BOOTHS!$F$2:$F$100,"&lt;="&amp;EOMONTH(S$2,0))
+SUMIFS('SOCIAL MEDIA'!$G$2:$G$100,'SOCIAL MEDIA'!$A$2:$A$100,$M7,'SOCIAL MEDIA'!$F$2:$F$100,"&gt;="&amp;S$2,'SOCIAL MEDIA'!$F$2:$F$100,"&lt;="&amp;EOMONTH(S$2,0))
+SUMIFS('INTERNET JOB'!$G$2:$G$100,'INTERNET JOB'!$A$2:$A$100,$M7,'INTERNET JOB'!$F$2:$F$100,"&gt;="&amp;S$2,'INTERNET JOB'!$F$2:$F$100,"&lt;="&amp;EOMONTH(S$2,0))</f>
        <v>0</v>
      </c>
      <c r="T7" s="266">
        <f>SUMIFS(BOOTHS!$G$2:$G$100,BOOTHS!$A$2:$A$100,$M7,BOOTHS!$F$2:$F$100,"&gt;="&amp;T$2,BOOTHS!$F$2:$F$100,"&lt;="&amp;EOMONTH(T$2,0))
+SUMIFS('SOCIAL MEDIA'!$G$2:$G$100,'SOCIAL MEDIA'!$A$2:$A$100,$M7,'SOCIAL MEDIA'!$F$2:$F$100,"&gt;="&amp;T$2,'SOCIAL MEDIA'!$F$2:$F$100,"&lt;="&amp;EOMONTH(T$2,0))
+SUMIFS('INTERNET JOB'!$G$2:$G$100,'INTERNET JOB'!$A$2:$A$100,$M7,'INTERNET JOB'!$F$2:$F$100,"&gt;="&amp;T$2,'INTERNET JOB'!$F$2:$F$100,"&lt;="&amp;EOMONTH(T$2,0))</f>
        <v>0</v>
      </c>
      <c r="U7" s="266">
        <f>SUMIFS(BOOTHS!$G$2:$G$100,BOOTHS!$A$2:$A$100,$M7,BOOTHS!$F$2:$F$100,"&gt;="&amp;U$2,BOOTHS!$F$2:$F$100,"&lt;="&amp;EOMONTH(U$2,0))
+SUMIFS('SOCIAL MEDIA'!$G$2:$G$100,'SOCIAL MEDIA'!$A$2:$A$100,$M7,'SOCIAL MEDIA'!$F$2:$F$100,"&gt;="&amp;U$2,'SOCIAL MEDIA'!$F$2:$F$100,"&lt;="&amp;EOMONTH(U$2,0))
+SUMIFS('INTERNET JOB'!$G$2:$G$100,'INTERNET JOB'!$A$2:$A$100,$M7,'INTERNET JOB'!$F$2:$F$100,"&gt;="&amp;U$2,'INTERNET JOB'!$F$2:$F$100,"&lt;="&amp;EOMONTH(U$2,0))</f>
        <v>0</v>
      </c>
      <c r="V7" s="266">
        <f>SUMIFS(BOOTHS!$G$2:$G$100,BOOTHS!$A$2:$A$100,$M7,BOOTHS!$F$2:$F$100,"&gt;="&amp;V$2,BOOTHS!$F$2:$F$100,"&lt;="&amp;EOMONTH(V$2,0))
+SUMIFS('SOCIAL MEDIA'!$G$2:$G$100,'SOCIAL MEDIA'!$A$2:$A$100,$M7,'SOCIAL MEDIA'!$F$2:$F$100,"&gt;="&amp;V$2,'SOCIAL MEDIA'!$F$2:$F$100,"&lt;="&amp;EOMONTH(V$2,0))
+SUMIFS('INTERNET JOB'!$G$2:$G$100,'INTERNET JOB'!$A$2:$A$100,$M7,'INTERNET JOB'!$F$2:$F$100,"&gt;="&amp;V$2,'INTERNET JOB'!$F$2:$F$100,"&lt;="&amp;EOMONTH(V$2,0))</f>
        <v>0</v>
      </c>
      <c r="W7" s="266">
        <f>SUMIFS(BOOTHS!$G$2:$G$100,BOOTHS!$A$2:$A$100,$M7,BOOTHS!$F$2:$F$100,"&gt;="&amp;W$2,BOOTHS!$F$2:$F$100,"&lt;="&amp;EOMONTH(W$2,0))
+SUMIFS('SOCIAL MEDIA'!$G$2:$G$100,'SOCIAL MEDIA'!$A$2:$A$100,$M7,'SOCIAL MEDIA'!$F$2:$F$100,"&gt;="&amp;W$2,'SOCIAL MEDIA'!$F$2:$F$100,"&lt;="&amp;EOMONTH(W$2,0))
+SUMIFS('INTERNET JOB'!$G$2:$G$100,'INTERNET JOB'!$A$2:$A$100,$M7,'INTERNET JOB'!$F$2:$F$100,"&gt;="&amp;W$2,'INTERNET JOB'!$F$2:$F$100,"&lt;="&amp;EOMONTH(W$2,0))</f>
        <v>0</v>
      </c>
      <c r="X7" s="266">
        <f>SUMIFS(BOOTHS!$G$2:$G$100,BOOTHS!$A$2:$A$100,$M7,BOOTHS!$F$2:$F$100,"&gt;="&amp;X$2,BOOTHS!$F$2:$F$100,"&lt;="&amp;EOMONTH(X$2,0))
+SUMIFS('SOCIAL MEDIA'!$G$2:$G$100,'SOCIAL MEDIA'!$A$2:$A$100,$M7,'SOCIAL MEDIA'!$F$2:$F$100,"&gt;="&amp;X$2,'SOCIAL MEDIA'!$F$2:$F$100,"&lt;="&amp;EOMONTH(X$2,0))
+SUMIFS('INTERNET JOB'!$G$2:$G$100,'INTERNET JOB'!$A$2:$A$100,$M7,'INTERNET JOB'!$F$2:$F$100,"&gt;="&amp;X$2,'INTERNET JOB'!$F$2:$F$100,"&lt;="&amp;EOMONTH(X$2,0))</f>
        <v>0</v>
      </c>
      <c r="Y7" s="268">
        <f>SUMIFS(BOOTHS!$G$2:$G$100,BOOTHS!$A$2:$A$100,$M7,BOOTHS!$F$2:$F$100,"&gt;="&amp;Y$2,BOOTHS!$F$2:$F$100,"&lt;="&amp;EOMONTH(Y$2,0))
+SUMIFS('SOCIAL MEDIA'!$G$2:$G$100,'SOCIAL MEDIA'!$A$2:$A$100,$M7,'SOCIAL MEDIA'!$F$2:$F$100,"&gt;="&amp;Y$2,'SOCIAL MEDIA'!$F$2:$F$100,"&lt;="&amp;EOMONTH(Y$2,0))
+SUMIFS('INTERNET JOB'!$G$2:$G$100,'INTERNET JOB'!$A$2:$A$100,$M7,'INTERNET JOB'!$F$2:$F$100,"&gt;="&amp;Y$2,'INTERNET JOB'!$F$2:$F$100,"&lt;="&amp;EOMONTH(Y$2,0))</f>
        <v>0</v>
      </c>
      <c r="Z7" s="267">
        <f t="shared" si="1"/>
        <v>0</v>
      </c>
    </row>
    <row r="8" spans="1:26" ht="15.75" thickBot="1" x14ac:dyDescent="0.3">
      <c r="A8" s="307" t="s">
        <v>164</v>
      </c>
      <c r="B8" s="308" t="s">
        <v>244</v>
      </c>
      <c r="C8" s="309">
        <f>SUMIF('SOCIAL MEDIA'!$A$2:$A$100,B8,'SOCIAL MEDIA'!$G$2:$G$100)</f>
        <v>0</v>
      </c>
      <c r="D8" s="310">
        <f>SUMIF('SOCIAL MEDIA'!$A$2:$A$100,$B8,'SOCIAL MEDIA'!$J$2:$J$100)</f>
        <v>0</v>
      </c>
      <c r="E8" s="382"/>
      <c r="F8" s="11"/>
      <c r="G8" s="288" t="s">
        <v>285</v>
      </c>
      <c r="H8" s="291" t="s">
        <v>219</v>
      </c>
      <c r="I8" s="292" t="s">
        <v>224</v>
      </c>
      <c r="J8" s="291" t="s">
        <v>231</v>
      </c>
      <c r="K8" s="292" t="s">
        <v>237</v>
      </c>
      <c r="L8" s="260"/>
      <c r="M8" s="265" t="str">
        <f t="shared" si="0"/>
        <v>FAD9E</v>
      </c>
      <c r="N8" s="266">
        <f>SUMIFS(BOOTHS!$G$2:$G$100,BOOTHS!$A$2:$A$100,$M8,BOOTHS!$F$2:$F$100,"&gt;="&amp;N$2,BOOTHS!$F$2:$F$100,"&lt;="&amp;EOMONTH(N$2,0))
+SUMIFS('SOCIAL MEDIA'!$G$2:$G$100,'SOCIAL MEDIA'!$A$2:$A$100,$M8,'SOCIAL MEDIA'!$F$2:$F$100,"&gt;="&amp;N$2,'SOCIAL MEDIA'!$F$2:$F$100,"&lt;="&amp;EOMONTH(N$2,0))
+SUMIFS('INTERNET JOB'!$G$2:$G$100,'INTERNET JOB'!$A$2:$A$100,$M8,'INTERNET JOB'!$F$2:$F$100,"&gt;="&amp;N$2,'INTERNET JOB'!$F$2:$F$100,"&lt;="&amp;EOMONTH(N$2,0))</f>
        <v>0</v>
      </c>
      <c r="O8" s="266">
        <f>SUMIFS(BOOTHS!$G$2:$G$100,BOOTHS!$A$2:$A$100,$M8,BOOTHS!$F$2:$F$100,"&gt;="&amp;O$2,BOOTHS!$F$2:$F$100,"&lt;="&amp;EOMONTH(O$2,0))
+SUMIFS('SOCIAL MEDIA'!$G$2:$G$100,'SOCIAL MEDIA'!$A$2:$A$100,$M8,'SOCIAL MEDIA'!$F$2:$F$100,"&gt;="&amp;O$2,'SOCIAL MEDIA'!$F$2:$F$100,"&lt;="&amp;EOMONTH(O$2,0))
+SUMIFS('INTERNET JOB'!$G$2:$G$100,'INTERNET JOB'!$A$2:$A$100,$M8,'INTERNET JOB'!$F$2:$F$100,"&gt;="&amp;O$2,'INTERNET JOB'!$F$2:$F$100,"&lt;="&amp;EOMONTH(O$2,0))</f>
        <v>0</v>
      </c>
      <c r="P8" s="266">
        <f>SUMIFS(BOOTHS!$G$2:$G$100,BOOTHS!$A$2:$A$100,$M8,BOOTHS!$F$2:$F$100,"&gt;="&amp;P$2,BOOTHS!$F$2:$F$100,"&lt;="&amp;EOMONTH(P$2,0))
+SUMIFS('SOCIAL MEDIA'!$G$2:$G$100,'SOCIAL MEDIA'!$A$2:$A$100,$M8,'SOCIAL MEDIA'!$F$2:$F$100,"&gt;="&amp;P$2,'SOCIAL MEDIA'!$F$2:$F$100,"&lt;="&amp;EOMONTH(P$2,0))
+SUMIFS('INTERNET JOB'!$G$2:$G$100,'INTERNET JOB'!$A$2:$A$100,$M8,'INTERNET JOB'!$F$2:$F$100,"&gt;="&amp;P$2,'INTERNET JOB'!$F$2:$F$100,"&lt;="&amp;EOMONTH(P$2,0))</f>
        <v>0</v>
      </c>
      <c r="Q8" s="266">
        <f>SUMIFS(BOOTHS!$G$2:$G$100,BOOTHS!$A$2:$A$100,$M8,BOOTHS!$F$2:$F$100,"&gt;="&amp;Q$2,BOOTHS!$F$2:$F$100,"&lt;="&amp;EOMONTH(Q$2,0))
+SUMIFS('SOCIAL MEDIA'!$G$2:$G$100,'SOCIAL MEDIA'!$A$2:$A$100,$M8,'SOCIAL MEDIA'!$F$2:$F$100,"&gt;="&amp;Q$2,'SOCIAL MEDIA'!$F$2:$F$100,"&lt;="&amp;EOMONTH(Q$2,0))
+SUMIFS('INTERNET JOB'!$G$2:$G$100,'INTERNET JOB'!$A$2:$A$100,$M8,'INTERNET JOB'!$F$2:$F$100,"&gt;="&amp;Q$2,'INTERNET JOB'!$F$2:$F$100,"&lt;="&amp;EOMONTH(Q$2,0))</f>
        <v>0</v>
      </c>
      <c r="R8" s="266">
        <f>SUMIFS(BOOTHS!$G$2:$G$100,BOOTHS!$A$2:$A$100,$M8,BOOTHS!$F$2:$F$100,"&gt;="&amp;R$2,BOOTHS!$F$2:$F$100,"&lt;="&amp;EOMONTH(R$2,0))
+SUMIFS('SOCIAL MEDIA'!$G$2:$G$100,'SOCIAL MEDIA'!$A$2:$A$100,$M8,'SOCIAL MEDIA'!$F$2:$F$100,"&gt;="&amp;R$2,'SOCIAL MEDIA'!$F$2:$F$100,"&lt;="&amp;EOMONTH(R$2,0))
+SUMIFS('INTERNET JOB'!$G$2:$G$100,'INTERNET JOB'!$A$2:$A$100,$M8,'INTERNET JOB'!$F$2:$F$100,"&gt;="&amp;R$2,'INTERNET JOB'!$F$2:$F$100,"&lt;="&amp;EOMONTH(R$2,0))</f>
        <v>0</v>
      </c>
      <c r="S8" s="266">
        <f>SUMIFS(BOOTHS!$G$2:$G$100,BOOTHS!$A$2:$A$100,$M8,BOOTHS!$F$2:$F$100,"&gt;="&amp;S$2,BOOTHS!$F$2:$F$100,"&lt;="&amp;EOMONTH(S$2,0))
+SUMIFS('SOCIAL MEDIA'!$G$2:$G$100,'SOCIAL MEDIA'!$A$2:$A$100,$M8,'SOCIAL MEDIA'!$F$2:$F$100,"&gt;="&amp;S$2,'SOCIAL MEDIA'!$F$2:$F$100,"&lt;="&amp;EOMONTH(S$2,0))
+SUMIFS('INTERNET JOB'!$G$2:$G$100,'INTERNET JOB'!$A$2:$A$100,$M8,'INTERNET JOB'!$F$2:$F$100,"&gt;="&amp;S$2,'INTERNET JOB'!$F$2:$F$100,"&lt;="&amp;EOMONTH(S$2,0))</f>
        <v>0</v>
      </c>
      <c r="T8" s="266">
        <f>SUMIFS(BOOTHS!$G$2:$G$100,BOOTHS!$A$2:$A$100,$M8,BOOTHS!$F$2:$F$100,"&gt;="&amp;T$2,BOOTHS!$F$2:$F$100,"&lt;="&amp;EOMONTH(T$2,0))
+SUMIFS('SOCIAL MEDIA'!$G$2:$G$100,'SOCIAL MEDIA'!$A$2:$A$100,$M8,'SOCIAL MEDIA'!$F$2:$F$100,"&gt;="&amp;T$2,'SOCIAL MEDIA'!$F$2:$F$100,"&lt;="&amp;EOMONTH(T$2,0))
+SUMIFS('INTERNET JOB'!$G$2:$G$100,'INTERNET JOB'!$A$2:$A$100,$M8,'INTERNET JOB'!$F$2:$F$100,"&gt;="&amp;T$2,'INTERNET JOB'!$F$2:$F$100,"&lt;="&amp;EOMONTH(T$2,0))</f>
        <v>0</v>
      </c>
      <c r="U8" s="266">
        <f>SUMIFS(BOOTHS!$G$2:$G$100,BOOTHS!$A$2:$A$100,$M8,BOOTHS!$F$2:$F$100,"&gt;="&amp;U$2,BOOTHS!$F$2:$F$100,"&lt;="&amp;EOMONTH(U$2,0))
+SUMIFS('SOCIAL MEDIA'!$G$2:$G$100,'SOCIAL MEDIA'!$A$2:$A$100,$M8,'SOCIAL MEDIA'!$F$2:$F$100,"&gt;="&amp;U$2,'SOCIAL MEDIA'!$F$2:$F$100,"&lt;="&amp;EOMONTH(U$2,0))
+SUMIFS('INTERNET JOB'!$G$2:$G$100,'INTERNET JOB'!$A$2:$A$100,$M8,'INTERNET JOB'!$F$2:$F$100,"&gt;="&amp;U$2,'INTERNET JOB'!$F$2:$F$100,"&lt;="&amp;EOMONTH(U$2,0))</f>
        <v>0</v>
      </c>
      <c r="V8" s="266">
        <f>SUMIFS(BOOTHS!$G$2:$G$100,BOOTHS!$A$2:$A$100,$M8,BOOTHS!$F$2:$F$100,"&gt;="&amp;V$2,BOOTHS!$F$2:$F$100,"&lt;="&amp;EOMONTH(V$2,0))
+SUMIFS('SOCIAL MEDIA'!$G$2:$G$100,'SOCIAL MEDIA'!$A$2:$A$100,$M8,'SOCIAL MEDIA'!$F$2:$F$100,"&gt;="&amp;V$2,'SOCIAL MEDIA'!$F$2:$F$100,"&lt;="&amp;EOMONTH(V$2,0))
+SUMIFS('INTERNET JOB'!$G$2:$G$100,'INTERNET JOB'!$A$2:$A$100,$M8,'INTERNET JOB'!$F$2:$F$100,"&gt;="&amp;V$2,'INTERNET JOB'!$F$2:$F$100,"&lt;="&amp;EOMONTH(V$2,0))</f>
        <v>0</v>
      </c>
      <c r="W8" s="266">
        <f>SUMIFS(BOOTHS!$G$2:$G$100,BOOTHS!$A$2:$A$100,$M8,BOOTHS!$F$2:$F$100,"&gt;="&amp;W$2,BOOTHS!$F$2:$F$100,"&lt;="&amp;EOMONTH(W$2,0))
+SUMIFS('SOCIAL MEDIA'!$G$2:$G$100,'SOCIAL MEDIA'!$A$2:$A$100,$M8,'SOCIAL MEDIA'!$F$2:$F$100,"&gt;="&amp;W$2,'SOCIAL MEDIA'!$F$2:$F$100,"&lt;="&amp;EOMONTH(W$2,0))
+SUMIFS('INTERNET JOB'!$G$2:$G$100,'INTERNET JOB'!$A$2:$A$100,$M8,'INTERNET JOB'!$F$2:$F$100,"&gt;="&amp;W$2,'INTERNET JOB'!$F$2:$F$100,"&lt;="&amp;EOMONTH(W$2,0))</f>
        <v>0</v>
      </c>
      <c r="X8" s="266">
        <f>SUMIFS(BOOTHS!$G$2:$G$100,BOOTHS!$A$2:$A$100,$M8,BOOTHS!$F$2:$F$100,"&gt;="&amp;X$2,BOOTHS!$F$2:$F$100,"&lt;="&amp;EOMONTH(X$2,0))
+SUMIFS('SOCIAL MEDIA'!$G$2:$G$100,'SOCIAL MEDIA'!$A$2:$A$100,$M8,'SOCIAL MEDIA'!$F$2:$F$100,"&gt;="&amp;X$2,'SOCIAL MEDIA'!$F$2:$F$100,"&lt;="&amp;EOMONTH(X$2,0))
+SUMIFS('INTERNET JOB'!$G$2:$G$100,'INTERNET JOB'!$A$2:$A$100,$M8,'INTERNET JOB'!$F$2:$F$100,"&gt;="&amp;X$2,'INTERNET JOB'!$F$2:$F$100,"&lt;="&amp;EOMONTH(X$2,0))</f>
        <v>0</v>
      </c>
      <c r="Y8" s="268">
        <f>SUMIFS(BOOTHS!$G$2:$G$100,BOOTHS!$A$2:$A$100,$M8,BOOTHS!$F$2:$F$100,"&gt;="&amp;Y$2,BOOTHS!$F$2:$F$100,"&lt;="&amp;EOMONTH(Y$2,0))
+SUMIFS('SOCIAL MEDIA'!$G$2:$G$100,'SOCIAL MEDIA'!$A$2:$A$100,$M8,'SOCIAL MEDIA'!$F$2:$F$100,"&gt;="&amp;Y$2,'SOCIAL MEDIA'!$F$2:$F$100,"&lt;="&amp;EOMONTH(Y$2,0))
+SUMIFS('INTERNET JOB'!$G$2:$G$100,'INTERNET JOB'!$A$2:$A$100,$M8,'INTERNET JOB'!$F$2:$F$100,"&gt;="&amp;Y$2,'INTERNET JOB'!$F$2:$F$100,"&lt;="&amp;EOMONTH(Y$2,0))</f>
        <v>0</v>
      </c>
      <c r="Z8" s="267">
        <f t="shared" si="1"/>
        <v>0</v>
      </c>
    </row>
    <row r="9" spans="1:26" x14ac:dyDescent="0.25">
      <c r="A9" s="311" t="s">
        <v>155</v>
      </c>
      <c r="B9" s="312" t="s">
        <v>220</v>
      </c>
      <c r="C9" s="313">
        <f>SUMIF('INTERNET JOB'!$A$2:$A$100,$B3,'INTERNET JOB'!$G$2:$G$100)</f>
        <v>0</v>
      </c>
      <c r="D9" s="314">
        <f>SUMIF('INTERNET JOB'!$A$2:$A$100,$B3,'INTERNET JOB'!$J$2:$J$100)</f>
        <v>0</v>
      </c>
      <c r="E9" s="383"/>
      <c r="F9" s="11"/>
      <c r="G9" s="288" t="s">
        <v>126</v>
      </c>
      <c r="H9" s="291" t="s">
        <v>221</v>
      </c>
      <c r="I9" s="292" t="s">
        <v>225</v>
      </c>
      <c r="J9" s="291" t="s">
        <v>236</v>
      </c>
      <c r="K9" s="292" t="s">
        <v>229</v>
      </c>
      <c r="L9" s="260"/>
      <c r="M9" s="269" t="str">
        <f t="shared" ref="M9:M18" si="2">B15</f>
        <v>FADAK</v>
      </c>
      <c r="N9" s="270">
        <f>SUMIFS(BOOTHS!$G$2:$G$100,BOOTHS!$A$2:$A$100,$M9,BOOTHS!$F$2:$F$100,"&gt;="&amp;N$2,BOOTHS!$F$2:$F$100,"&lt;="&amp;EOMONTH(N$2,0))
+SUMIFS('SOCIAL MEDIA'!$G$2:$G$100,'SOCIAL MEDIA'!$A$2:$A$100,$M9,'SOCIAL MEDIA'!$F$2:$F$100,"&gt;="&amp;N$2,'SOCIAL MEDIA'!$F$2:$F$100,"&lt;="&amp;EOMONTH(N$2,0))
+SUMIFS('INTERNET JOB'!$G$2:$G$100,'INTERNET JOB'!$A$2:$A$100,$M9,'INTERNET JOB'!$F$2:$F$100,"&gt;="&amp;N$2,'INTERNET JOB'!$F$2:$F$100,"&lt;="&amp;EOMONTH(N$2,0))</f>
        <v>0</v>
      </c>
      <c r="O9" s="270">
        <f>SUMIFS(BOOTHS!$G$2:$G$100,BOOTHS!$A$2:$A$100,$M9,BOOTHS!$F$2:$F$100,"&gt;="&amp;O$2,BOOTHS!$F$2:$F$100,"&lt;="&amp;EOMONTH(O$2,0))
+SUMIFS('SOCIAL MEDIA'!$G$2:$G$100,'SOCIAL MEDIA'!$A$2:$A$100,$M9,'SOCIAL MEDIA'!$F$2:$F$100,"&gt;="&amp;O$2,'SOCIAL MEDIA'!$F$2:$F$100,"&lt;="&amp;EOMONTH(O$2,0))
+SUMIFS('INTERNET JOB'!$G$2:$G$100,'INTERNET JOB'!$A$2:$A$100,$M9,'INTERNET JOB'!$F$2:$F$100,"&gt;="&amp;O$2,'INTERNET JOB'!$F$2:$F$100,"&lt;="&amp;EOMONTH(O$2,0))</f>
        <v>0</v>
      </c>
      <c r="P9" s="270">
        <f>SUMIFS(BOOTHS!$G$2:$G$100,BOOTHS!$A$2:$A$100,$M9,BOOTHS!$F$2:$F$100,"&gt;="&amp;P$2,BOOTHS!$F$2:$F$100,"&lt;="&amp;EOMONTH(P$2,0))
+SUMIFS('SOCIAL MEDIA'!$G$2:$G$100,'SOCIAL MEDIA'!$A$2:$A$100,$M9,'SOCIAL MEDIA'!$F$2:$F$100,"&gt;="&amp;P$2,'SOCIAL MEDIA'!$F$2:$F$100,"&lt;="&amp;EOMONTH(P$2,0))
+SUMIFS('INTERNET JOB'!$G$2:$G$100,'INTERNET JOB'!$A$2:$A$100,$M9,'INTERNET JOB'!$F$2:$F$100,"&gt;="&amp;P$2,'INTERNET JOB'!$F$2:$F$100,"&lt;="&amp;EOMONTH(P$2,0))</f>
        <v>0</v>
      </c>
      <c r="Q9" s="270">
        <f>SUMIFS(BOOTHS!$G$2:$G$100,BOOTHS!$A$2:$A$100,$M9,BOOTHS!$F$2:$F$100,"&gt;="&amp;Q$2,BOOTHS!$F$2:$F$100,"&lt;="&amp;EOMONTH(Q$2,0))
+SUMIFS('SOCIAL MEDIA'!$G$2:$G$100,'SOCIAL MEDIA'!$A$2:$A$100,$M9,'SOCIAL MEDIA'!$F$2:$F$100,"&gt;="&amp;Q$2,'SOCIAL MEDIA'!$F$2:$F$100,"&lt;="&amp;EOMONTH(Q$2,0))
+SUMIFS('INTERNET JOB'!$G$2:$G$100,'INTERNET JOB'!$A$2:$A$100,$M9,'INTERNET JOB'!$F$2:$F$100,"&gt;="&amp;Q$2,'INTERNET JOB'!$F$2:$F$100,"&lt;="&amp;EOMONTH(Q$2,0))</f>
        <v>0</v>
      </c>
      <c r="R9" s="270">
        <f>SUMIFS(BOOTHS!$G$2:$G$100,BOOTHS!$A$2:$A$100,$M9,BOOTHS!$F$2:$F$100,"&gt;="&amp;R$2,BOOTHS!$F$2:$F$100,"&lt;="&amp;EOMONTH(R$2,0))
+SUMIFS('SOCIAL MEDIA'!$G$2:$G$100,'SOCIAL MEDIA'!$A$2:$A$100,$M9,'SOCIAL MEDIA'!$F$2:$F$100,"&gt;="&amp;R$2,'SOCIAL MEDIA'!$F$2:$F$100,"&lt;="&amp;EOMONTH(R$2,0))
+SUMIFS('INTERNET JOB'!$G$2:$G$100,'INTERNET JOB'!$A$2:$A$100,$M9,'INTERNET JOB'!$F$2:$F$100,"&gt;="&amp;R$2,'INTERNET JOB'!$F$2:$F$100,"&lt;="&amp;EOMONTH(R$2,0))</f>
        <v>0</v>
      </c>
      <c r="S9" s="270">
        <f>SUMIFS(BOOTHS!$G$2:$G$100,BOOTHS!$A$2:$A$100,$M9,BOOTHS!$F$2:$F$100,"&gt;="&amp;S$2,BOOTHS!$F$2:$F$100,"&lt;="&amp;EOMONTH(S$2,0))
+SUMIFS('SOCIAL MEDIA'!$G$2:$G$100,'SOCIAL MEDIA'!$A$2:$A$100,$M9,'SOCIAL MEDIA'!$F$2:$F$100,"&gt;="&amp;S$2,'SOCIAL MEDIA'!$F$2:$F$100,"&lt;="&amp;EOMONTH(S$2,0))
+SUMIFS('INTERNET JOB'!$G$2:$G$100,'INTERNET JOB'!$A$2:$A$100,$M9,'INTERNET JOB'!$F$2:$F$100,"&gt;="&amp;S$2,'INTERNET JOB'!$F$2:$F$100,"&lt;="&amp;EOMONTH(S$2,0))</f>
        <v>0</v>
      </c>
      <c r="T9" s="270">
        <f>SUMIFS(BOOTHS!$G$2:$G$100,BOOTHS!$A$2:$A$100,$M9,BOOTHS!$F$2:$F$100,"&gt;="&amp;T$2,BOOTHS!$F$2:$F$100,"&lt;="&amp;EOMONTH(T$2,0))
+SUMIFS('SOCIAL MEDIA'!$G$2:$G$100,'SOCIAL MEDIA'!$A$2:$A$100,$M9,'SOCIAL MEDIA'!$F$2:$F$100,"&gt;="&amp;T$2,'SOCIAL MEDIA'!$F$2:$F$100,"&lt;="&amp;EOMONTH(T$2,0))
+SUMIFS('INTERNET JOB'!$G$2:$G$100,'INTERNET JOB'!$A$2:$A$100,$M9,'INTERNET JOB'!$F$2:$F$100,"&gt;="&amp;T$2,'INTERNET JOB'!$F$2:$F$100,"&lt;="&amp;EOMONTH(T$2,0))</f>
        <v>0</v>
      </c>
      <c r="U9" s="270">
        <f>SUMIFS(BOOTHS!$G$2:$G$100,BOOTHS!$A$2:$A$100,$M9,BOOTHS!$F$2:$F$100,"&gt;="&amp;U$2,BOOTHS!$F$2:$F$100,"&lt;="&amp;EOMONTH(U$2,0))
+SUMIFS('SOCIAL MEDIA'!$G$2:$G$100,'SOCIAL MEDIA'!$A$2:$A$100,$M9,'SOCIAL MEDIA'!$F$2:$F$100,"&gt;="&amp;U$2,'SOCIAL MEDIA'!$F$2:$F$100,"&lt;="&amp;EOMONTH(U$2,0))
+SUMIFS('INTERNET JOB'!$G$2:$G$100,'INTERNET JOB'!$A$2:$A$100,$M9,'INTERNET JOB'!$F$2:$F$100,"&gt;="&amp;U$2,'INTERNET JOB'!$F$2:$F$100,"&lt;="&amp;EOMONTH(U$2,0))</f>
        <v>0</v>
      </c>
      <c r="V9" s="270">
        <f>SUMIFS(BOOTHS!$G$2:$G$100,BOOTHS!$A$2:$A$100,$M9,BOOTHS!$F$2:$F$100,"&gt;="&amp;V$2,BOOTHS!$F$2:$F$100,"&lt;="&amp;EOMONTH(V$2,0))
+SUMIFS('SOCIAL MEDIA'!$G$2:$G$100,'SOCIAL MEDIA'!$A$2:$A$100,$M9,'SOCIAL MEDIA'!$F$2:$F$100,"&gt;="&amp;V$2,'SOCIAL MEDIA'!$F$2:$F$100,"&lt;="&amp;EOMONTH(V$2,0))
+SUMIFS('INTERNET JOB'!$G$2:$G$100,'INTERNET JOB'!$A$2:$A$100,$M9,'INTERNET JOB'!$F$2:$F$100,"&gt;="&amp;V$2,'INTERNET JOB'!$F$2:$F$100,"&lt;="&amp;EOMONTH(V$2,0))</f>
        <v>0</v>
      </c>
      <c r="W9" s="270">
        <f>SUMIFS(BOOTHS!$G$2:$G$100,BOOTHS!$A$2:$A$100,$M9,BOOTHS!$F$2:$F$100,"&gt;="&amp;W$2,BOOTHS!$F$2:$F$100,"&lt;="&amp;EOMONTH(W$2,0))
+SUMIFS('SOCIAL MEDIA'!$G$2:$G$100,'SOCIAL MEDIA'!$A$2:$A$100,$M9,'SOCIAL MEDIA'!$F$2:$F$100,"&gt;="&amp;W$2,'SOCIAL MEDIA'!$F$2:$F$100,"&lt;="&amp;EOMONTH(W$2,0))
+SUMIFS('INTERNET JOB'!$G$2:$G$100,'INTERNET JOB'!$A$2:$A$100,$M9,'INTERNET JOB'!$F$2:$F$100,"&gt;="&amp;W$2,'INTERNET JOB'!$F$2:$F$100,"&lt;="&amp;EOMONTH(W$2,0))</f>
        <v>0</v>
      </c>
      <c r="X9" s="270">
        <f>SUMIFS(BOOTHS!$G$2:$G$100,BOOTHS!$A$2:$A$100,$M9,BOOTHS!$F$2:$F$100,"&gt;="&amp;X$2,BOOTHS!$F$2:$F$100,"&lt;="&amp;EOMONTH(X$2,0))
+SUMIFS('SOCIAL MEDIA'!$G$2:$G$100,'SOCIAL MEDIA'!$A$2:$A$100,$M9,'SOCIAL MEDIA'!$F$2:$F$100,"&gt;="&amp;X$2,'SOCIAL MEDIA'!$F$2:$F$100,"&lt;="&amp;EOMONTH(X$2,0))
+SUMIFS('INTERNET JOB'!$G$2:$G$100,'INTERNET JOB'!$A$2:$A$100,$M9,'INTERNET JOB'!$F$2:$F$100,"&gt;="&amp;X$2,'INTERNET JOB'!$F$2:$F$100,"&lt;="&amp;EOMONTH(X$2,0))</f>
        <v>0</v>
      </c>
      <c r="Y9" s="271">
        <f>SUMIFS(BOOTHS!$G$2:$G$100,BOOTHS!$A$2:$A$100,$M9,BOOTHS!$F$2:$F$100,"&gt;="&amp;Y$2,BOOTHS!$F$2:$F$100,"&lt;="&amp;EOMONTH(Y$2,0))
+SUMIFS('SOCIAL MEDIA'!$G$2:$G$100,'SOCIAL MEDIA'!$A$2:$A$100,$M9,'SOCIAL MEDIA'!$F$2:$F$100,"&gt;="&amp;Y$2,'SOCIAL MEDIA'!$F$2:$F$100,"&lt;="&amp;EOMONTH(Y$2,0))
+SUMIFS('INTERNET JOB'!$G$2:$G$100,'INTERNET JOB'!$A$2:$A$100,$M9,'INTERNET JOB'!$F$2:$F$100,"&gt;="&amp;Y$2,'INTERNET JOB'!$F$2:$F$100,"&lt;="&amp;EOMONTH(Y$2,0))</f>
        <v>0</v>
      </c>
      <c r="Z9" s="267">
        <f t="shared" si="1"/>
        <v>0</v>
      </c>
    </row>
    <row r="10" spans="1:26" x14ac:dyDescent="0.25">
      <c r="A10" s="315" t="s">
        <v>157</v>
      </c>
      <c r="B10" s="316" t="s">
        <v>219</v>
      </c>
      <c r="C10" s="317">
        <f>SUMIF('INTERNET JOB'!$A$2:$A$100,$B4,'INTERNET JOB'!$G$2:$G$100)</f>
        <v>0</v>
      </c>
      <c r="D10" s="318">
        <f>SUMIF('INTERNET JOB'!$A$2:$A$100,$B4,'INTERNET JOB'!$J$2:$J$100)</f>
        <v>0</v>
      </c>
      <c r="E10" s="384"/>
      <c r="F10" s="11"/>
      <c r="G10" s="288" t="s">
        <v>183</v>
      </c>
      <c r="H10" s="291" t="s">
        <v>219</v>
      </c>
      <c r="I10" s="292" t="s">
        <v>224</v>
      </c>
      <c r="J10" s="291" t="s">
        <v>231</v>
      </c>
      <c r="K10" s="292" t="s">
        <v>237</v>
      </c>
      <c r="L10" s="260"/>
      <c r="M10" s="269" t="str">
        <f t="shared" si="2"/>
        <v>FAD98</v>
      </c>
      <c r="N10" s="270">
        <f>SUMIFS(BOOTHS!$G$2:$G$100,BOOTHS!$A$2:$A$100,$M10,BOOTHS!$F$2:$F$100,"&gt;="&amp;N$2,BOOTHS!$F$2:$F$100,"&lt;="&amp;EOMONTH(N$2,0))
+SUMIFS('SOCIAL MEDIA'!$G$2:$G$100,'SOCIAL MEDIA'!$A$2:$A$100,$M10,'SOCIAL MEDIA'!$F$2:$F$100,"&gt;="&amp;N$2,'SOCIAL MEDIA'!$F$2:$F$100,"&lt;="&amp;EOMONTH(N$2,0))
+SUMIFS('INTERNET JOB'!$G$2:$G$100,'INTERNET JOB'!$A$2:$A$100,$M10,'INTERNET JOB'!$F$2:$F$100,"&gt;="&amp;N$2,'INTERNET JOB'!$F$2:$F$100,"&lt;="&amp;EOMONTH(N$2,0))</f>
        <v>0</v>
      </c>
      <c r="O10" s="270">
        <f>SUMIFS(BOOTHS!$G$2:$G$100,BOOTHS!$A$2:$A$100,$M10,BOOTHS!$F$2:$F$100,"&gt;="&amp;O$2,BOOTHS!$F$2:$F$100,"&lt;="&amp;EOMONTH(O$2,0))
+SUMIFS('SOCIAL MEDIA'!$G$2:$G$100,'SOCIAL MEDIA'!$A$2:$A$100,$M10,'SOCIAL MEDIA'!$F$2:$F$100,"&gt;="&amp;O$2,'SOCIAL MEDIA'!$F$2:$F$100,"&lt;="&amp;EOMONTH(O$2,0))
+SUMIFS('INTERNET JOB'!$G$2:$G$100,'INTERNET JOB'!$A$2:$A$100,$M10,'INTERNET JOB'!$F$2:$F$100,"&gt;="&amp;O$2,'INTERNET JOB'!$F$2:$F$100,"&lt;="&amp;EOMONTH(O$2,0))</f>
        <v>0</v>
      </c>
      <c r="P10" s="270">
        <f>SUMIFS(BOOTHS!$G$2:$G$100,BOOTHS!$A$2:$A$100,$M10,BOOTHS!$F$2:$F$100,"&gt;="&amp;P$2,BOOTHS!$F$2:$F$100,"&lt;="&amp;EOMONTH(P$2,0))
+SUMIFS('SOCIAL MEDIA'!$G$2:$G$100,'SOCIAL MEDIA'!$A$2:$A$100,$M10,'SOCIAL MEDIA'!$F$2:$F$100,"&gt;="&amp;P$2,'SOCIAL MEDIA'!$F$2:$F$100,"&lt;="&amp;EOMONTH(P$2,0))
+SUMIFS('INTERNET JOB'!$G$2:$G$100,'INTERNET JOB'!$A$2:$A$100,$M10,'INTERNET JOB'!$F$2:$F$100,"&gt;="&amp;P$2,'INTERNET JOB'!$F$2:$F$100,"&lt;="&amp;EOMONTH(P$2,0))</f>
        <v>0</v>
      </c>
      <c r="Q10" s="270">
        <f>SUMIFS(BOOTHS!$G$2:$G$100,BOOTHS!$A$2:$A$100,$M10,BOOTHS!$F$2:$F$100,"&gt;="&amp;Q$2,BOOTHS!$F$2:$F$100,"&lt;="&amp;EOMONTH(Q$2,0))
+SUMIFS('SOCIAL MEDIA'!$G$2:$G$100,'SOCIAL MEDIA'!$A$2:$A$100,$M10,'SOCIAL MEDIA'!$F$2:$F$100,"&gt;="&amp;Q$2,'SOCIAL MEDIA'!$F$2:$F$100,"&lt;="&amp;EOMONTH(Q$2,0))
+SUMIFS('INTERNET JOB'!$G$2:$G$100,'INTERNET JOB'!$A$2:$A$100,$M10,'INTERNET JOB'!$F$2:$F$100,"&gt;="&amp;Q$2,'INTERNET JOB'!$F$2:$F$100,"&lt;="&amp;EOMONTH(Q$2,0))</f>
        <v>0</v>
      </c>
      <c r="R10" s="270">
        <f>SUMIFS(BOOTHS!$G$2:$G$100,BOOTHS!$A$2:$A$100,$M10,BOOTHS!$F$2:$F$100,"&gt;="&amp;R$2,BOOTHS!$F$2:$F$100,"&lt;="&amp;EOMONTH(R$2,0))
+SUMIFS('SOCIAL MEDIA'!$G$2:$G$100,'SOCIAL MEDIA'!$A$2:$A$100,$M10,'SOCIAL MEDIA'!$F$2:$F$100,"&gt;="&amp;R$2,'SOCIAL MEDIA'!$F$2:$F$100,"&lt;="&amp;EOMONTH(R$2,0))
+SUMIFS('INTERNET JOB'!$G$2:$G$100,'INTERNET JOB'!$A$2:$A$100,$M10,'INTERNET JOB'!$F$2:$F$100,"&gt;="&amp;R$2,'INTERNET JOB'!$F$2:$F$100,"&lt;="&amp;EOMONTH(R$2,0))</f>
        <v>0</v>
      </c>
      <c r="S10" s="270">
        <f>SUMIFS(BOOTHS!$G$2:$G$100,BOOTHS!$A$2:$A$100,$M10,BOOTHS!$F$2:$F$100,"&gt;="&amp;S$2,BOOTHS!$F$2:$F$100,"&lt;="&amp;EOMONTH(S$2,0))
+SUMIFS('SOCIAL MEDIA'!$G$2:$G$100,'SOCIAL MEDIA'!$A$2:$A$100,$M10,'SOCIAL MEDIA'!$F$2:$F$100,"&gt;="&amp;S$2,'SOCIAL MEDIA'!$F$2:$F$100,"&lt;="&amp;EOMONTH(S$2,0))
+SUMIFS('INTERNET JOB'!$G$2:$G$100,'INTERNET JOB'!$A$2:$A$100,$M10,'INTERNET JOB'!$F$2:$F$100,"&gt;="&amp;S$2,'INTERNET JOB'!$F$2:$F$100,"&lt;="&amp;EOMONTH(S$2,0))</f>
        <v>0</v>
      </c>
      <c r="T10" s="270">
        <f>SUMIFS(BOOTHS!$G$2:$G$100,BOOTHS!$A$2:$A$100,$M10,BOOTHS!$F$2:$F$100,"&gt;="&amp;T$2,BOOTHS!$F$2:$F$100,"&lt;="&amp;EOMONTH(T$2,0))
+SUMIFS('SOCIAL MEDIA'!$G$2:$G$100,'SOCIAL MEDIA'!$A$2:$A$100,$M10,'SOCIAL MEDIA'!$F$2:$F$100,"&gt;="&amp;T$2,'SOCIAL MEDIA'!$F$2:$F$100,"&lt;="&amp;EOMONTH(T$2,0))
+SUMIFS('INTERNET JOB'!$G$2:$G$100,'INTERNET JOB'!$A$2:$A$100,$M10,'INTERNET JOB'!$F$2:$F$100,"&gt;="&amp;T$2,'INTERNET JOB'!$F$2:$F$100,"&lt;="&amp;EOMONTH(T$2,0))</f>
        <v>0</v>
      </c>
      <c r="U10" s="270">
        <f>SUMIFS(BOOTHS!$G$2:$G$100,BOOTHS!$A$2:$A$100,$M10,BOOTHS!$F$2:$F$100,"&gt;="&amp;U$2,BOOTHS!$F$2:$F$100,"&lt;="&amp;EOMONTH(U$2,0))
+SUMIFS('SOCIAL MEDIA'!$G$2:$G$100,'SOCIAL MEDIA'!$A$2:$A$100,$M10,'SOCIAL MEDIA'!$F$2:$F$100,"&gt;="&amp;U$2,'SOCIAL MEDIA'!$F$2:$F$100,"&lt;="&amp;EOMONTH(U$2,0))
+SUMIFS('INTERNET JOB'!$G$2:$G$100,'INTERNET JOB'!$A$2:$A$100,$M10,'INTERNET JOB'!$F$2:$F$100,"&gt;="&amp;U$2,'INTERNET JOB'!$F$2:$F$100,"&lt;="&amp;EOMONTH(U$2,0))</f>
        <v>0</v>
      </c>
      <c r="V10" s="270">
        <f>SUMIFS(BOOTHS!$G$2:$G$100,BOOTHS!$A$2:$A$100,$M10,BOOTHS!$F$2:$F$100,"&gt;="&amp;V$2,BOOTHS!$F$2:$F$100,"&lt;="&amp;EOMONTH(V$2,0))
+SUMIFS('SOCIAL MEDIA'!$G$2:$G$100,'SOCIAL MEDIA'!$A$2:$A$100,$M10,'SOCIAL MEDIA'!$F$2:$F$100,"&gt;="&amp;V$2,'SOCIAL MEDIA'!$F$2:$F$100,"&lt;="&amp;EOMONTH(V$2,0))
+SUMIFS('INTERNET JOB'!$G$2:$G$100,'INTERNET JOB'!$A$2:$A$100,$M10,'INTERNET JOB'!$F$2:$F$100,"&gt;="&amp;V$2,'INTERNET JOB'!$F$2:$F$100,"&lt;="&amp;EOMONTH(V$2,0))</f>
        <v>0</v>
      </c>
      <c r="W10" s="270">
        <f>SUMIFS(BOOTHS!$G$2:$G$100,BOOTHS!$A$2:$A$100,$M10,BOOTHS!$F$2:$F$100,"&gt;="&amp;W$2,BOOTHS!$F$2:$F$100,"&lt;="&amp;EOMONTH(W$2,0))
+SUMIFS('SOCIAL MEDIA'!$G$2:$G$100,'SOCIAL MEDIA'!$A$2:$A$100,$M10,'SOCIAL MEDIA'!$F$2:$F$100,"&gt;="&amp;W$2,'SOCIAL MEDIA'!$F$2:$F$100,"&lt;="&amp;EOMONTH(W$2,0))
+SUMIFS('INTERNET JOB'!$G$2:$G$100,'INTERNET JOB'!$A$2:$A$100,$M10,'INTERNET JOB'!$F$2:$F$100,"&gt;="&amp;W$2,'INTERNET JOB'!$F$2:$F$100,"&lt;="&amp;EOMONTH(W$2,0))</f>
        <v>0</v>
      </c>
      <c r="X10" s="270">
        <f>SUMIFS(BOOTHS!$G$2:$G$100,BOOTHS!$A$2:$A$100,$M10,BOOTHS!$F$2:$F$100,"&gt;="&amp;X$2,BOOTHS!$F$2:$F$100,"&lt;="&amp;EOMONTH(X$2,0))
+SUMIFS('SOCIAL MEDIA'!$G$2:$G$100,'SOCIAL MEDIA'!$A$2:$A$100,$M10,'SOCIAL MEDIA'!$F$2:$F$100,"&gt;="&amp;X$2,'SOCIAL MEDIA'!$F$2:$F$100,"&lt;="&amp;EOMONTH(X$2,0))
+SUMIFS('INTERNET JOB'!$G$2:$G$100,'INTERNET JOB'!$A$2:$A$100,$M10,'INTERNET JOB'!$F$2:$F$100,"&gt;="&amp;X$2,'INTERNET JOB'!$F$2:$F$100,"&lt;="&amp;EOMONTH(X$2,0))</f>
        <v>0</v>
      </c>
      <c r="Y10" s="271">
        <f>SUMIFS(BOOTHS!$G$2:$G$100,BOOTHS!$A$2:$A$100,$M10,BOOTHS!$F$2:$F$100,"&gt;="&amp;Y$2,BOOTHS!$F$2:$F$100,"&lt;="&amp;EOMONTH(Y$2,0))
+SUMIFS('SOCIAL MEDIA'!$G$2:$G$100,'SOCIAL MEDIA'!$A$2:$A$100,$M10,'SOCIAL MEDIA'!$F$2:$F$100,"&gt;="&amp;Y$2,'SOCIAL MEDIA'!$F$2:$F$100,"&lt;="&amp;EOMONTH(Y$2,0))
+SUMIFS('INTERNET JOB'!$G$2:$G$100,'INTERNET JOB'!$A$2:$A$100,$M10,'INTERNET JOB'!$F$2:$F$100,"&gt;="&amp;Y$2,'INTERNET JOB'!$F$2:$F$100,"&lt;="&amp;EOMONTH(Y$2,0))</f>
        <v>0</v>
      </c>
      <c r="Z10" s="267">
        <f t="shared" si="1"/>
        <v>0</v>
      </c>
    </row>
    <row r="11" spans="1:26" x14ac:dyDescent="0.25">
      <c r="A11" s="315" t="s">
        <v>159</v>
      </c>
      <c r="B11" s="316" t="s">
        <v>221</v>
      </c>
      <c r="C11" s="317">
        <f>SUMIF('INTERNET JOB'!$A$2:$A$100,$B5,'INTERNET JOB'!$G$2:$G$100)</f>
        <v>0</v>
      </c>
      <c r="D11" s="318">
        <f>SUMIF('INTERNET JOB'!$A$2:$A$100,$B5,'INTERNET JOB'!$J$2:$J$100)</f>
        <v>0</v>
      </c>
      <c r="E11" s="384"/>
      <c r="F11" s="11"/>
      <c r="G11" s="288" t="s">
        <v>286</v>
      </c>
      <c r="H11" s="291" t="s">
        <v>219</v>
      </c>
      <c r="I11" s="292" t="s">
        <v>224</v>
      </c>
      <c r="J11" s="291" t="s">
        <v>231</v>
      </c>
      <c r="K11" s="292" t="s">
        <v>237</v>
      </c>
      <c r="L11" s="260"/>
      <c r="M11" s="272" t="str">
        <f t="shared" si="2"/>
        <v>FADSY</v>
      </c>
      <c r="N11" s="273">
        <f>SUMIFS(BOOTHS!$G$2:$G$100,BOOTHS!$A$2:$A$100,$M11,BOOTHS!$F$2:$F$100,"&gt;="&amp;N$2,BOOTHS!$F$2:$F$100,"&lt;="&amp;EOMONTH(N$2,0))
+SUMIFS('SOCIAL MEDIA'!$G$2:$G$100,'SOCIAL MEDIA'!$A$2:$A$100,$M11,'SOCIAL MEDIA'!$F$2:$F$100,"&gt;="&amp;N$2,'SOCIAL MEDIA'!$F$2:$F$100,"&lt;="&amp;EOMONTH(N$2,0))
+SUMIFS('INTERNET JOB'!$G$2:$G$100,'INTERNET JOB'!$A$2:$A$100,$M11,'INTERNET JOB'!$F$2:$F$100,"&gt;="&amp;N$2,'INTERNET JOB'!$F$2:$F$100,"&lt;="&amp;EOMONTH(N$2,0))</f>
        <v>0</v>
      </c>
      <c r="O11" s="273">
        <f>SUMIFS(BOOTHS!$G$2:$G$100,BOOTHS!$A$2:$A$100,$M11,BOOTHS!$F$2:$F$100,"&gt;="&amp;O$2,BOOTHS!$F$2:$F$100,"&lt;="&amp;EOMONTH(O$2,0))
+SUMIFS('SOCIAL MEDIA'!$G$2:$G$100,'SOCIAL MEDIA'!$A$2:$A$100,$M11,'SOCIAL MEDIA'!$F$2:$F$100,"&gt;="&amp;O$2,'SOCIAL MEDIA'!$F$2:$F$100,"&lt;="&amp;EOMONTH(O$2,0))
+SUMIFS('INTERNET JOB'!$G$2:$G$100,'INTERNET JOB'!$A$2:$A$100,$M11,'INTERNET JOB'!$F$2:$F$100,"&gt;="&amp;O$2,'INTERNET JOB'!$F$2:$F$100,"&lt;="&amp;EOMONTH(O$2,0))</f>
        <v>0</v>
      </c>
      <c r="P11" s="273">
        <f>SUMIFS(BOOTHS!$G$2:$G$100,BOOTHS!$A$2:$A$100,$M11,BOOTHS!$F$2:$F$100,"&gt;="&amp;P$2,BOOTHS!$F$2:$F$100,"&lt;="&amp;EOMONTH(P$2,0))
+SUMIFS('SOCIAL MEDIA'!$G$2:$G$100,'SOCIAL MEDIA'!$A$2:$A$100,$M11,'SOCIAL MEDIA'!$F$2:$F$100,"&gt;="&amp;P$2,'SOCIAL MEDIA'!$F$2:$F$100,"&lt;="&amp;EOMONTH(P$2,0))
+SUMIFS('INTERNET JOB'!$G$2:$G$100,'INTERNET JOB'!$A$2:$A$100,$M11,'INTERNET JOB'!$F$2:$F$100,"&gt;="&amp;P$2,'INTERNET JOB'!$F$2:$F$100,"&lt;="&amp;EOMONTH(P$2,0))</f>
        <v>0</v>
      </c>
      <c r="Q11" s="273">
        <f>SUMIFS(BOOTHS!$G$2:$G$100,BOOTHS!$A$2:$A$100,$M11,BOOTHS!$F$2:$F$100,"&gt;="&amp;Q$2,BOOTHS!$F$2:$F$100,"&lt;="&amp;EOMONTH(Q$2,0))
+SUMIFS('SOCIAL MEDIA'!$G$2:$G$100,'SOCIAL MEDIA'!$A$2:$A$100,$M11,'SOCIAL MEDIA'!$F$2:$F$100,"&gt;="&amp;Q$2,'SOCIAL MEDIA'!$F$2:$F$100,"&lt;="&amp;EOMONTH(Q$2,0))
+SUMIFS('INTERNET JOB'!$G$2:$G$100,'INTERNET JOB'!$A$2:$A$100,$M11,'INTERNET JOB'!$F$2:$F$100,"&gt;="&amp;Q$2,'INTERNET JOB'!$F$2:$F$100,"&lt;="&amp;EOMONTH(Q$2,0))</f>
        <v>0</v>
      </c>
      <c r="R11" s="273">
        <f>SUMIFS(BOOTHS!$G$2:$G$100,BOOTHS!$A$2:$A$100,$M11,BOOTHS!$F$2:$F$100,"&gt;="&amp;R$2,BOOTHS!$F$2:$F$100,"&lt;="&amp;EOMONTH(R$2,0))
+SUMIFS('SOCIAL MEDIA'!$G$2:$G$100,'SOCIAL MEDIA'!$A$2:$A$100,$M11,'SOCIAL MEDIA'!$F$2:$F$100,"&gt;="&amp;R$2,'SOCIAL MEDIA'!$F$2:$F$100,"&lt;="&amp;EOMONTH(R$2,0))
+SUMIFS('INTERNET JOB'!$G$2:$G$100,'INTERNET JOB'!$A$2:$A$100,$M11,'INTERNET JOB'!$F$2:$F$100,"&gt;="&amp;R$2,'INTERNET JOB'!$F$2:$F$100,"&lt;="&amp;EOMONTH(R$2,0))</f>
        <v>0</v>
      </c>
      <c r="S11" s="273">
        <f>SUMIFS(BOOTHS!$G$2:$G$100,BOOTHS!$A$2:$A$100,$M11,BOOTHS!$F$2:$F$100,"&gt;="&amp;S$2,BOOTHS!$F$2:$F$100,"&lt;="&amp;EOMONTH(S$2,0))
+SUMIFS('SOCIAL MEDIA'!$G$2:$G$100,'SOCIAL MEDIA'!$A$2:$A$100,$M11,'SOCIAL MEDIA'!$F$2:$F$100,"&gt;="&amp;S$2,'SOCIAL MEDIA'!$F$2:$F$100,"&lt;="&amp;EOMONTH(S$2,0))
+SUMIFS('INTERNET JOB'!$G$2:$G$100,'INTERNET JOB'!$A$2:$A$100,$M11,'INTERNET JOB'!$F$2:$F$100,"&gt;="&amp;S$2,'INTERNET JOB'!$F$2:$F$100,"&lt;="&amp;EOMONTH(S$2,0))</f>
        <v>0</v>
      </c>
      <c r="T11" s="273">
        <f>SUMIFS(BOOTHS!$G$2:$G$100,BOOTHS!$A$2:$A$100,$M11,BOOTHS!$F$2:$F$100,"&gt;="&amp;T$2,BOOTHS!$F$2:$F$100,"&lt;="&amp;EOMONTH(T$2,0))
+SUMIFS('SOCIAL MEDIA'!$G$2:$G$100,'SOCIAL MEDIA'!$A$2:$A$100,$M11,'SOCIAL MEDIA'!$F$2:$F$100,"&gt;="&amp;T$2,'SOCIAL MEDIA'!$F$2:$F$100,"&lt;="&amp;EOMONTH(T$2,0))
+SUMIFS('INTERNET JOB'!$G$2:$G$100,'INTERNET JOB'!$A$2:$A$100,$M11,'INTERNET JOB'!$F$2:$F$100,"&gt;="&amp;T$2,'INTERNET JOB'!$F$2:$F$100,"&lt;="&amp;EOMONTH(T$2,0))</f>
        <v>0</v>
      </c>
      <c r="U11" s="273">
        <f>SUMIFS(BOOTHS!$G$2:$G$100,BOOTHS!$A$2:$A$100,$M11,BOOTHS!$F$2:$F$100,"&gt;="&amp;U$2,BOOTHS!$F$2:$F$100,"&lt;="&amp;EOMONTH(U$2,0))
+SUMIFS('SOCIAL MEDIA'!$G$2:$G$100,'SOCIAL MEDIA'!$A$2:$A$100,$M11,'SOCIAL MEDIA'!$F$2:$F$100,"&gt;="&amp;U$2,'SOCIAL MEDIA'!$F$2:$F$100,"&lt;="&amp;EOMONTH(U$2,0))
+SUMIFS('INTERNET JOB'!$G$2:$G$100,'INTERNET JOB'!$A$2:$A$100,$M11,'INTERNET JOB'!$F$2:$F$100,"&gt;="&amp;U$2,'INTERNET JOB'!$F$2:$F$100,"&lt;="&amp;EOMONTH(U$2,0))</f>
        <v>0</v>
      </c>
      <c r="V11" s="273">
        <f>SUMIFS(BOOTHS!$G$2:$G$100,BOOTHS!$A$2:$A$100,$M11,BOOTHS!$F$2:$F$100,"&gt;="&amp;V$2,BOOTHS!$F$2:$F$100,"&lt;="&amp;EOMONTH(V$2,0))
+SUMIFS('SOCIAL MEDIA'!$G$2:$G$100,'SOCIAL MEDIA'!$A$2:$A$100,$M11,'SOCIAL MEDIA'!$F$2:$F$100,"&gt;="&amp;V$2,'SOCIAL MEDIA'!$F$2:$F$100,"&lt;="&amp;EOMONTH(V$2,0))
+SUMIFS('INTERNET JOB'!$G$2:$G$100,'INTERNET JOB'!$A$2:$A$100,$M11,'INTERNET JOB'!$F$2:$F$100,"&gt;="&amp;V$2,'INTERNET JOB'!$F$2:$F$100,"&lt;="&amp;EOMONTH(V$2,0))</f>
        <v>0</v>
      </c>
      <c r="W11" s="273">
        <f>SUMIFS(BOOTHS!$G$2:$G$100,BOOTHS!$A$2:$A$100,$M11,BOOTHS!$F$2:$F$100,"&gt;="&amp;W$2,BOOTHS!$F$2:$F$100,"&lt;="&amp;EOMONTH(W$2,0))
+SUMIFS('SOCIAL MEDIA'!$G$2:$G$100,'SOCIAL MEDIA'!$A$2:$A$100,$M11,'SOCIAL MEDIA'!$F$2:$F$100,"&gt;="&amp;W$2,'SOCIAL MEDIA'!$F$2:$F$100,"&lt;="&amp;EOMONTH(W$2,0))
+SUMIFS('INTERNET JOB'!$G$2:$G$100,'INTERNET JOB'!$A$2:$A$100,$M11,'INTERNET JOB'!$F$2:$F$100,"&gt;="&amp;W$2,'INTERNET JOB'!$F$2:$F$100,"&lt;="&amp;EOMONTH(W$2,0))</f>
        <v>0</v>
      </c>
      <c r="X11" s="273">
        <f>SUMIFS(BOOTHS!$G$2:$G$100,BOOTHS!$A$2:$A$100,$M11,BOOTHS!$F$2:$F$100,"&gt;="&amp;X$2,BOOTHS!$F$2:$F$100,"&lt;="&amp;EOMONTH(X$2,0))
+SUMIFS('SOCIAL MEDIA'!$G$2:$G$100,'SOCIAL MEDIA'!$A$2:$A$100,$M11,'SOCIAL MEDIA'!$F$2:$F$100,"&gt;="&amp;X$2,'SOCIAL MEDIA'!$F$2:$F$100,"&lt;="&amp;EOMONTH(X$2,0))
+SUMIFS('INTERNET JOB'!$G$2:$G$100,'INTERNET JOB'!$A$2:$A$100,$M11,'INTERNET JOB'!$F$2:$F$100,"&gt;="&amp;X$2,'INTERNET JOB'!$F$2:$F$100,"&lt;="&amp;EOMONTH(X$2,0))</f>
        <v>0</v>
      </c>
      <c r="Y11" s="274">
        <f>SUMIFS(BOOTHS!$G$2:$G$100,BOOTHS!$A$2:$A$100,$M11,BOOTHS!$F$2:$F$100,"&gt;="&amp;Y$2,BOOTHS!$F$2:$F$100,"&lt;="&amp;EOMONTH(Y$2,0))
+SUMIFS('SOCIAL MEDIA'!$G$2:$G$100,'SOCIAL MEDIA'!$A$2:$A$100,$M11,'SOCIAL MEDIA'!$F$2:$F$100,"&gt;="&amp;Y$2,'SOCIAL MEDIA'!$F$2:$F$100,"&lt;="&amp;EOMONTH(Y$2,0))
+SUMIFS('INTERNET JOB'!$G$2:$G$100,'INTERNET JOB'!$A$2:$A$100,$M11,'INTERNET JOB'!$F$2:$F$100,"&gt;="&amp;Y$2,'INTERNET JOB'!$F$2:$F$100,"&lt;="&amp;EOMONTH(Y$2,0))</f>
        <v>0</v>
      </c>
      <c r="Z11" s="267">
        <f t="shared" si="1"/>
        <v>0</v>
      </c>
    </row>
    <row r="12" spans="1:26" x14ac:dyDescent="0.25">
      <c r="A12" s="315" t="s">
        <v>161</v>
      </c>
      <c r="B12" s="316" t="s">
        <v>223</v>
      </c>
      <c r="C12" s="317">
        <f>SUMIF('INTERNET JOB'!$A$2:$A$100,$B6,'INTERNET JOB'!$G$2:$G$100)</f>
        <v>0</v>
      </c>
      <c r="D12" s="318">
        <f>SUMIF('INTERNET JOB'!$A$2:$A$100,$B6,'INTERNET JOB'!$J$2:$J$100)</f>
        <v>0</v>
      </c>
      <c r="E12" s="384"/>
      <c r="F12" s="11"/>
      <c r="G12" s="288" t="s">
        <v>277</v>
      </c>
      <c r="H12" s="291" t="s">
        <v>221</v>
      </c>
      <c r="I12" s="292" t="s">
        <v>225</v>
      </c>
      <c r="J12" s="291" t="s">
        <v>236</v>
      </c>
      <c r="K12" s="292" t="s">
        <v>229</v>
      </c>
      <c r="L12" s="260"/>
      <c r="M12" s="272" t="str">
        <f t="shared" si="2"/>
        <v>FADAT</v>
      </c>
      <c r="N12" s="273">
        <f>SUMIFS(BOOTHS!$G$2:$G$100,BOOTHS!$A$2:$A$100,$M12,BOOTHS!$F$2:$F$100,"&gt;="&amp;N$2,BOOTHS!$F$2:$F$100,"&lt;="&amp;EOMONTH(N$2,0))
+SUMIFS('SOCIAL MEDIA'!$G$2:$G$100,'SOCIAL MEDIA'!$A$2:$A$100,$M12,'SOCIAL MEDIA'!$F$2:$F$100,"&gt;="&amp;N$2,'SOCIAL MEDIA'!$F$2:$F$100,"&lt;="&amp;EOMONTH(N$2,0))
+SUMIFS('INTERNET JOB'!$G$2:$G$100,'INTERNET JOB'!$A$2:$A$100,$M12,'INTERNET JOB'!$F$2:$F$100,"&gt;="&amp;N$2,'INTERNET JOB'!$F$2:$F$100,"&lt;="&amp;EOMONTH(N$2,0))</f>
        <v>0</v>
      </c>
      <c r="O12" s="273">
        <f>SUMIFS(BOOTHS!$G$2:$G$100,BOOTHS!$A$2:$A$100,$M12,BOOTHS!$F$2:$F$100,"&gt;="&amp;O$2,BOOTHS!$F$2:$F$100,"&lt;="&amp;EOMONTH(O$2,0))
+SUMIFS('SOCIAL MEDIA'!$G$2:$G$100,'SOCIAL MEDIA'!$A$2:$A$100,$M12,'SOCIAL MEDIA'!$F$2:$F$100,"&gt;="&amp;O$2,'SOCIAL MEDIA'!$F$2:$F$100,"&lt;="&amp;EOMONTH(O$2,0))
+SUMIFS('INTERNET JOB'!$G$2:$G$100,'INTERNET JOB'!$A$2:$A$100,$M12,'INTERNET JOB'!$F$2:$F$100,"&gt;="&amp;O$2,'INTERNET JOB'!$F$2:$F$100,"&lt;="&amp;EOMONTH(O$2,0))</f>
        <v>0</v>
      </c>
      <c r="P12" s="273">
        <f>SUMIFS(BOOTHS!$G$2:$G$100,BOOTHS!$A$2:$A$100,$M12,BOOTHS!$F$2:$F$100,"&gt;="&amp;P$2,BOOTHS!$F$2:$F$100,"&lt;="&amp;EOMONTH(P$2,0))
+SUMIFS('SOCIAL MEDIA'!$G$2:$G$100,'SOCIAL MEDIA'!$A$2:$A$100,$M12,'SOCIAL MEDIA'!$F$2:$F$100,"&gt;="&amp;P$2,'SOCIAL MEDIA'!$F$2:$F$100,"&lt;="&amp;EOMONTH(P$2,0))
+SUMIFS('INTERNET JOB'!$G$2:$G$100,'INTERNET JOB'!$A$2:$A$100,$M12,'INTERNET JOB'!$F$2:$F$100,"&gt;="&amp;P$2,'INTERNET JOB'!$F$2:$F$100,"&lt;="&amp;EOMONTH(P$2,0))</f>
        <v>0</v>
      </c>
      <c r="Q12" s="273">
        <f>SUMIFS(BOOTHS!$G$2:$G$100,BOOTHS!$A$2:$A$100,$M12,BOOTHS!$F$2:$F$100,"&gt;="&amp;Q$2,BOOTHS!$F$2:$F$100,"&lt;="&amp;EOMONTH(Q$2,0))
+SUMIFS('SOCIAL MEDIA'!$G$2:$G$100,'SOCIAL MEDIA'!$A$2:$A$100,$M12,'SOCIAL MEDIA'!$F$2:$F$100,"&gt;="&amp;Q$2,'SOCIAL MEDIA'!$F$2:$F$100,"&lt;="&amp;EOMONTH(Q$2,0))
+SUMIFS('INTERNET JOB'!$G$2:$G$100,'INTERNET JOB'!$A$2:$A$100,$M12,'INTERNET JOB'!$F$2:$F$100,"&gt;="&amp;Q$2,'INTERNET JOB'!$F$2:$F$100,"&lt;="&amp;EOMONTH(Q$2,0))</f>
        <v>0</v>
      </c>
      <c r="R12" s="273">
        <f>SUMIFS(BOOTHS!$G$2:$G$100,BOOTHS!$A$2:$A$100,$M12,BOOTHS!$F$2:$F$100,"&gt;="&amp;R$2,BOOTHS!$F$2:$F$100,"&lt;="&amp;EOMONTH(R$2,0))
+SUMIFS('SOCIAL MEDIA'!$G$2:$G$100,'SOCIAL MEDIA'!$A$2:$A$100,$M12,'SOCIAL MEDIA'!$F$2:$F$100,"&gt;="&amp;R$2,'SOCIAL MEDIA'!$F$2:$F$100,"&lt;="&amp;EOMONTH(R$2,0))
+SUMIFS('INTERNET JOB'!$G$2:$G$100,'INTERNET JOB'!$A$2:$A$100,$M12,'INTERNET JOB'!$F$2:$F$100,"&gt;="&amp;R$2,'INTERNET JOB'!$F$2:$F$100,"&lt;="&amp;EOMONTH(R$2,0))</f>
        <v>0</v>
      </c>
      <c r="S12" s="273">
        <f>SUMIFS(BOOTHS!$G$2:$G$100,BOOTHS!$A$2:$A$100,$M12,BOOTHS!$F$2:$F$100,"&gt;="&amp;S$2,BOOTHS!$F$2:$F$100,"&lt;="&amp;EOMONTH(S$2,0))
+SUMIFS('SOCIAL MEDIA'!$G$2:$G$100,'SOCIAL MEDIA'!$A$2:$A$100,$M12,'SOCIAL MEDIA'!$F$2:$F$100,"&gt;="&amp;S$2,'SOCIAL MEDIA'!$F$2:$F$100,"&lt;="&amp;EOMONTH(S$2,0))
+SUMIFS('INTERNET JOB'!$G$2:$G$100,'INTERNET JOB'!$A$2:$A$100,$M12,'INTERNET JOB'!$F$2:$F$100,"&gt;="&amp;S$2,'INTERNET JOB'!$F$2:$F$100,"&lt;="&amp;EOMONTH(S$2,0))</f>
        <v>0</v>
      </c>
      <c r="T12" s="273">
        <f>SUMIFS(BOOTHS!$G$2:$G$100,BOOTHS!$A$2:$A$100,$M12,BOOTHS!$F$2:$F$100,"&gt;="&amp;T$2,BOOTHS!$F$2:$F$100,"&lt;="&amp;EOMONTH(T$2,0))
+SUMIFS('SOCIAL MEDIA'!$G$2:$G$100,'SOCIAL MEDIA'!$A$2:$A$100,$M12,'SOCIAL MEDIA'!$F$2:$F$100,"&gt;="&amp;T$2,'SOCIAL MEDIA'!$F$2:$F$100,"&lt;="&amp;EOMONTH(T$2,0))
+SUMIFS('INTERNET JOB'!$G$2:$G$100,'INTERNET JOB'!$A$2:$A$100,$M12,'INTERNET JOB'!$F$2:$F$100,"&gt;="&amp;T$2,'INTERNET JOB'!$F$2:$F$100,"&lt;="&amp;EOMONTH(T$2,0))</f>
        <v>0</v>
      </c>
      <c r="U12" s="273">
        <f>SUMIFS(BOOTHS!$G$2:$G$100,BOOTHS!$A$2:$A$100,$M12,BOOTHS!$F$2:$F$100,"&gt;="&amp;U$2,BOOTHS!$F$2:$F$100,"&lt;="&amp;EOMONTH(U$2,0))
+SUMIFS('SOCIAL MEDIA'!$G$2:$G$100,'SOCIAL MEDIA'!$A$2:$A$100,$M12,'SOCIAL MEDIA'!$F$2:$F$100,"&gt;="&amp;U$2,'SOCIAL MEDIA'!$F$2:$F$100,"&lt;="&amp;EOMONTH(U$2,0))
+SUMIFS('INTERNET JOB'!$G$2:$G$100,'INTERNET JOB'!$A$2:$A$100,$M12,'INTERNET JOB'!$F$2:$F$100,"&gt;="&amp;U$2,'INTERNET JOB'!$F$2:$F$100,"&lt;="&amp;EOMONTH(U$2,0))</f>
        <v>0</v>
      </c>
      <c r="V12" s="273">
        <f>SUMIFS(BOOTHS!$G$2:$G$100,BOOTHS!$A$2:$A$100,$M12,BOOTHS!$F$2:$F$100,"&gt;="&amp;V$2,BOOTHS!$F$2:$F$100,"&lt;="&amp;EOMONTH(V$2,0))
+SUMIFS('SOCIAL MEDIA'!$G$2:$G$100,'SOCIAL MEDIA'!$A$2:$A$100,$M12,'SOCIAL MEDIA'!$F$2:$F$100,"&gt;="&amp;V$2,'SOCIAL MEDIA'!$F$2:$F$100,"&lt;="&amp;EOMONTH(V$2,0))
+SUMIFS('INTERNET JOB'!$G$2:$G$100,'INTERNET JOB'!$A$2:$A$100,$M12,'INTERNET JOB'!$F$2:$F$100,"&gt;="&amp;V$2,'INTERNET JOB'!$F$2:$F$100,"&lt;="&amp;EOMONTH(V$2,0))</f>
        <v>0</v>
      </c>
      <c r="W12" s="273">
        <f>SUMIFS(BOOTHS!$G$2:$G$100,BOOTHS!$A$2:$A$100,$M12,BOOTHS!$F$2:$F$100,"&gt;="&amp;W$2,BOOTHS!$F$2:$F$100,"&lt;="&amp;EOMONTH(W$2,0))
+SUMIFS('SOCIAL MEDIA'!$G$2:$G$100,'SOCIAL MEDIA'!$A$2:$A$100,$M12,'SOCIAL MEDIA'!$F$2:$F$100,"&gt;="&amp;W$2,'SOCIAL MEDIA'!$F$2:$F$100,"&lt;="&amp;EOMONTH(W$2,0))
+SUMIFS('INTERNET JOB'!$G$2:$G$100,'INTERNET JOB'!$A$2:$A$100,$M12,'INTERNET JOB'!$F$2:$F$100,"&gt;="&amp;W$2,'INTERNET JOB'!$F$2:$F$100,"&lt;="&amp;EOMONTH(W$2,0))</f>
        <v>0</v>
      </c>
      <c r="X12" s="273">
        <f>SUMIFS(BOOTHS!$G$2:$G$100,BOOTHS!$A$2:$A$100,$M12,BOOTHS!$F$2:$F$100,"&gt;="&amp;X$2,BOOTHS!$F$2:$F$100,"&lt;="&amp;EOMONTH(X$2,0))
+SUMIFS('SOCIAL MEDIA'!$G$2:$G$100,'SOCIAL MEDIA'!$A$2:$A$100,$M12,'SOCIAL MEDIA'!$F$2:$F$100,"&gt;="&amp;X$2,'SOCIAL MEDIA'!$F$2:$F$100,"&lt;="&amp;EOMONTH(X$2,0))
+SUMIFS('INTERNET JOB'!$G$2:$G$100,'INTERNET JOB'!$A$2:$A$100,$M12,'INTERNET JOB'!$F$2:$F$100,"&gt;="&amp;X$2,'INTERNET JOB'!$F$2:$F$100,"&lt;="&amp;EOMONTH(X$2,0))</f>
        <v>0</v>
      </c>
      <c r="Y12" s="274">
        <f>SUMIFS(BOOTHS!$G$2:$G$100,BOOTHS!$A$2:$A$100,$M12,BOOTHS!$F$2:$F$100,"&gt;="&amp;Y$2,BOOTHS!$F$2:$F$100,"&lt;="&amp;EOMONTH(Y$2,0))
+SUMIFS('SOCIAL MEDIA'!$G$2:$G$100,'SOCIAL MEDIA'!$A$2:$A$100,$M12,'SOCIAL MEDIA'!$F$2:$F$100,"&gt;="&amp;Y$2,'SOCIAL MEDIA'!$F$2:$F$100,"&lt;="&amp;EOMONTH(Y$2,0))
+SUMIFS('INTERNET JOB'!$G$2:$G$100,'INTERNET JOB'!$A$2:$A$100,$M12,'INTERNET JOB'!$F$2:$F$100,"&gt;="&amp;Y$2,'INTERNET JOB'!$F$2:$F$100,"&lt;="&amp;EOMONTH(Y$2,0))</f>
        <v>0</v>
      </c>
      <c r="Z12" s="267">
        <f t="shared" si="1"/>
        <v>0</v>
      </c>
    </row>
    <row r="13" spans="1:26" x14ac:dyDescent="0.25">
      <c r="A13" s="315" t="s">
        <v>163</v>
      </c>
      <c r="B13" s="316" t="s">
        <v>222</v>
      </c>
      <c r="C13" s="317">
        <f>SUMIF('INTERNET JOB'!$A$2:$A$100,$B7,'INTERNET JOB'!$G$2:$G$100)</f>
        <v>0</v>
      </c>
      <c r="D13" s="318">
        <f>SUMIF('INTERNET JOB'!$A$2:$A$100,$B7,'INTERNET JOB'!$J$2:$J$100)</f>
        <v>0</v>
      </c>
      <c r="E13" s="384"/>
      <c r="F13" s="11"/>
      <c r="G13" s="288" t="s">
        <v>278</v>
      </c>
      <c r="H13" s="291" t="s">
        <v>221</v>
      </c>
      <c r="I13" s="292" t="s">
        <v>225</v>
      </c>
      <c r="J13" s="291" t="s">
        <v>236</v>
      </c>
      <c r="K13" s="292" t="s">
        <v>229</v>
      </c>
      <c r="L13" s="260"/>
      <c r="M13" s="272" t="str">
        <f t="shared" si="2"/>
        <v>FADAR</v>
      </c>
      <c r="N13" s="273">
        <f>SUMIFS(BOOTHS!$G$2:$G$100,BOOTHS!$A$2:$A$100,$M13,BOOTHS!$F$2:$F$100,"&gt;="&amp;N$2,BOOTHS!$F$2:$F$100,"&lt;="&amp;EOMONTH(N$2,0))
+SUMIFS('SOCIAL MEDIA'!$G$2:$G$100,'SOCIAL MEDIA'!$A$2:$A$100,$M13,'SOCIAL MEDIA'!$F$2:$F$100,"&gt;="&amp;N$2,'SOCIAL MEDIA'!$F$2:$F$100,"&lt;="&amp;EOMONTH(N$2,0))
+SUMIFS('INTERNET JOB'!$G$2:$G$100,'INTERNET JOB'!$A$2:$A$100,$M13,'INTERNET JOB'!$F$2:$F$100,"&gt;="&amp;N$2,'INTERNET JOB'!$F$2:$F$100,"&lt;="&amp;EOMONTH(N$2,0))</f>
        <v>0</v>
      </c>
      <c r="O13" s="273">
        <f>SUMIFS(BOOTHS!$G$2:$G$100,BOOTHS!$A$2:$A$100,$M13,BOOTHS!$F$2:$F$100,"&gt;="&amp;O$2,BOOTHS!$F$2:$F$100,"&lt;="&amp;EOMONTH(O$2,0))
+SUMIFS('SOCIAL MEDIA'!$G$2:$G$100,'SOCIAL MEDIA'!$A$2:$A$100,$M13,'SOCIAL MEDIA'!$F$2:$F$100,"&gt;="&amp;O$2,'SOCIAL MEDIA'!$F$2:$F$100,"&lt;="&amp;EOMONTH(O$2,0))
+SUMIFS('INTERNET JOB'!$G$2:$G$100,'INTERNET JOB'!$A$2:$A$100,$M13,'INTERNET JOB'!$F$2:$F$100,"&gt;="&amp;O$2,'INTERNET JOB'!$F$2:$F$100,"&lt;="&amp;EOMONTH(O$2,0))</f>
        <v>0</v>
      </c>
      <c r="P13" s="273">
        <f>SUMIFS(BOOTHS!$G$2:$G$100,BOOTHS!$A$2:$A$100,$M13,BOOTHS!$F$2:$F$100,"&gt;="&amp;P$2,BOOTHS!$F$2:$F$100,"&lt;="&amp;EOMONTH(P$2,0))
+SUMIFS('SOCIAL MEDIA'!$G$2:$G$100,'SOCIAL MEDIA'!$A$2:$A$100,$M13,'SOCIAL MEDIA'!$F$2:$F$100,"&gt;="&amp;P$2,'SOCIAL MEDIA'!$F$2:$F$100,"&lt;="&amp;EOMONTH(P$2,0))
+SUMIFS('INTERNET JOB'!$G$2:$G$100,'INTERNET JOB'!$A$2:$A$100,$M13,'INTERNET JOB'!$F$2:$F$100,"&gt;="&amp;P$2,'INTERNET JOB'!$F$2:$F$100,"&lt;="&amp;EOMONTH(P$2,0))</f>
        <v>0</v>
      </c>
      <c r="Q13" s="273">
        <f>SUMIFS(BOOTHS!$G$2:$G$100,BOOTHS!$A$2:$A$100,$M13,BOOTHS!$F$2:$F$100,"&gt;="&amp;Q$2,BOOTHS!$F$2:$F$100,"&lt;="&amp;EOMONTH(Q$2,0))
+SUMIFS('SOCIAL MEDIA'!$G$2:$G$100,'SOCIAL MEDIA'!$A$2:$A$100,$M13,'SOCIAL MEDIA'!$F$2:$F$100,"&gt;="&amp;Q$2,'SOCIAL MEDIA'!$F$2:$F$100,"&lt;="&amp;EOMONTH(Q$2,0))
+SUMIFS('INTERNET JOB'!$G$2:$G$100,'INTERNET JOB'!$A$2:$A$100,$M13,'INTERNET JOB'!$F$2:$F$100,"&gt;="&amp;Q$2,'INTERNET JOB'!$F$2:$F$100,"&lt;="&amp;EOMONTH(Q$2,0))</f>
        <v>0</v>
      </c>
      <c r="R13" s="273">
        <f>SUMIFS(BOOTHS!$G$2:$G$100,BOOTHS!$A$2:$A$100,$M13,BOOTHS!$F$2:$F$100,"&gt;="&amp;R$2,BOOTHS!$F$2:$F$100,"&lt;="&amp;EOMONTH(R$2,0))
+SUMIFS('SOCIAL MEDIA'!$G$2:$G$100,'SOCIAL MEDIA'!$A$2:$A$100,$M13,'SOCIAL MEDIA'!$F$2:$F$100,"&gt;="&amp;R$2,'SOCIAL MEDIA'!$F$2:$F$100,"&lt;="&amp;EOMONTH(R$2,0))
+SUMIFS('INTERNET JOB'!$G$2:$G$100,'INTERNET JOB'!$A$2:$A$100,$M13,'INTERNET JOB'!$F$2:$F$100,"&gt;="&amp;R$2,'INTERNET JOB'!$F$2:$F$100,"&lt;="&amp;EOMONTH(R$2,0))</f>
        <v>0</v>
      </c>
      <c r="S13" s="273">
        <f>SUMIFS(BOOTHS!$G$2:$G$100,BOOTHS!$A$2:$A$100,$M13,BOOTHS!$F$2:$F$100,"&gt;="&amp;S$2,BOOTHS!$F$2:$F$100,"&lt;="&amp;EOMONTH(S$2,0))
+SUMIFS('SOCIAL MEDIA'!$G$2:$G$100,'SOCIAL MEDIA'!$A$2:$A$100,$M13,'SOCIAL MEDIA'!$F$2:$F$100,"&gt;="&amp;S$2,'SOCIAL MEDIA'!$F$2:$F$100,"&lt;="&amp;EOMONTH(S$2,0))
+SUMIFS('INTERNET JOB'!$G$2:$G$100,'INTERNET JOB'!$A$2:$A$100,$M13,'INTERNET JOB'!$F$2:$F$100,"&gt;="&amp;S$2,'INTERNET JOB'!$F$2:$F$100,"&lt;="&amp;EOMONTH(S$2,0))</f>
        <v>0</v>
      </c>
      <c r="T13" s="273">
        <f>SUMIFS(BOOTHS!$G$2:$G$100,BOOTHS!$A$2:$A$100,$M13,BOOTHS!$F$2:$F$100,"&gt;="&amp;T$2,BOOTHS!$F$2:$F$100,"&lt;="&amp;EOMONTH(T$2,0))
+SUMIFS('SOCIAL MEDIA'!$G$2:$G$100,'SOCIAL MEDIA'!$A$2:$A$100,$M13,'SOCIAL MEDIA'!$F$2:$F$100,"&gt;="&amp;T$2,'SOCIAL MEDIA'!$F$2:$F$100,"&lt;="&amp;EOMONTH(T$2,0))
+SUMIFS('INTERNET JOB'!$G$2:$G$100,'INTERNET JOB'!$A$2:$A$100,$M13,'INTERNET JOB'!$F$2:$F$100,"&gt;="&amp;T$2,'INTERNET JOB'!$F$2:$F$100,"&lt;="&amp;EOMONTH(T$2,0))</f>
        <v>0</v>
      </c>
      <c r="U13" s="273">
        <f>SUMIFS(BOOTHS!$G$2:$G$100,BOOTHS!$A$2:$A$100,$M13,BOOTHS!$F$2:$F$100,"&gt;="&amp;U$2,BOOTHS!$F$2:$F$100,"&lt;="&amp;EOMONTH(U$2,0))
+SUMIFS('SOCIAL MEDIA'!$G$2:$G$100,'SOCIAL MEDIA'!$A$2:$A$100,$M13,'SOCIAL MEDIA'!$F$2:$F$100,"&gt;="&amp;U$2,'SOCIAL MEDIA'!$F$2:$F$100,"&lt;="&amp;EOMONTH(U$2,0))
+SUMIFS('INTERNET JOB'!$G$2:$G$100,'INTERNET JOB'!$A$2:$A$100,$M13,'INTERNET JOB'!$F$2:$F$100,"&gt;="&amp;U$2,'INTERNET JOB'!$F$2:$F$100,"&lt;="&amp;EOMONTH(U$2,0))</f>
        <v>0</v>
      </c>
      <c r="V13" s="273">
        <f>SUMIFS(BOOTHS!$G$2:$G$100,BOOTHS!$A$2:$A$100,$M13,BOOTHS!$F$2:$F$100,"&gt;="&amp;V$2,BOOTHS!$F$2:$F$100,"&lt;="&amp;EOMONTH(V$2,0))
+SUMIFS('SOCIAL MEDIA'!$G$2:$G$100,'SOCIAL MEDIA'!$A$2:$A$100,$M13,'SOCIAL MEDIA'!$F$2:$F$100,"&gt;="&amp;V$2,'SOCIAL MEDIA'!$F$2:$F$100,"&lt;="&amp;EOMONTH(V$2,0))
+SUMIFS('INTERNET JOB'!$G$2:$G$100,'INTERNET JOB'!$A$2:$A$100,$M13,'INTERNET JOB'!$F$2:$F$100,"&gt;="&amp;V$2,'INTERNET JOB'!$F$2:$F$100,"&lt;="&amp;EOMONTH(V$2,0))</f>
        <v>0</v>
      </c>
      <c r="W13" s="273">
        <f>SUMIFS(BOOTHS!$G$2:$G$100,BOOTHS!$A$2:$A$100,$M13,BOOTHS!$F$2:$F$100,"&gt;="&amp;W$2,BOOTHS!$F$2:$F$100,"&lt;="&amp;EOMONTH(W$2,0))
+SUMIFS('SOCIAL MEDIA'!$G$2:$G$100,'SOCIAL MEDIA'!$A$2:$A$100,$M13,'SOCIAL MEDIA'!$F$2:$F$100,"&gt;="&amp;W$2,'SOCIAL MEDIA'!$F$2:$F$100,"&lt;="&amp;EOMONTH(W$2,0))
+SUMIFS('INTERNET JOB'!$G$2:$G$100,'INTERNET JOB'!$A$2:$A$100,$M13,'INTERNET JOB'!$F$2:$F$100,"&gt;="&amp;W$2,'INTERNET JOB'!$F$2:$F$100,"&lt;="&amp;EOMONTH(W$2,0))</f>
        <v>0</v>
      </c>
      <c r="X13" s="273">
        <f>SUMIFS(BOOTHS!$G$2:$G$100,BOOTHS!$A$2:$A$100,$M13,BOOTHS!$F$2:$F$100,"&gt;="&amp;X$2,BOOTHS!$F$2:$F$100,"&lt;="&amp;EOMONTH(X$2,0))
+SUMIFS('SOCIAL MEDIA'!$G$2:$G$100,'SOCIAL MEDIA'!$A$2:$A$100,$M13,'SOCIAL MEDIA'!$F$2:$F$100,"&gt;="&amp;X$2,'SOCIAL MEDIA'!$F$2:$F$100,"&lt;="&amp;EOMONTH(X$2,0))
+SUMIFS('INTERNET JOB'!$G$2:$G$100,'INTERNET JOB'!$A$2:$A$100,$M13,'INTERNET JOB'!$F$2:$F$100,"&gt;="&amp;X$2,'INTERNET JOB'!$F$2:$F$100,"&lt;="&amp;EOMONTH(X$2,0))</f>
        <v>0</v>
      </c>
      <c r="Y13" s="274">
        <f>SUMIFS(BOOTHS!$G$2:$G$100,BOOTHS!$A$2:$A$100,$M13,BOOTHS!$F$2:$F$100,"&gt;="&amp;Y$2,BOOTHS!$F$2:$F$100,"&lt;="&amp;EOMONTH(Y$2,0))
+SUMIFS('SOCIAL MEDIA'!$G$2:$G$100,'SOCIAL MEDIA'!$A$2:$A$100,$M13,'SOCIAL MEDIA'!$F$2:$F$100,"&gt;="&amp;Y$2,'SOCIAL MEDIA'!$F$2:$F$100,"&lt;="&amp;EOMONTH(Y$2,0))
+SUMIFS('INTERNET JOB'!$G$2:$G$100,'INTERNET JOB'!$A$2:$A$100,$M13,'INTERNET JOB'!$F$2:$F$100,"&gt;="&amp;Y$2,'INTERNET JOB'!$F$2:$F$100,"&lt;="&amp;EOMONTH(Y$2,0))</f>
        <v>0</v>
      </c>
      <c r="Z13" s="267">
        <f t="shared" si="1"/>
        <v>0</v>
      </c>
    </row>
    <row r="14" spans="1:26" ht="15.75" thickBot="1" x14ac:dyDescent="0.3">
      <c r="A14" s="319" t="s">
        <v>165</v>
      </c>
      <c r="B14" s="320" t="s">
        <v>244</v>
      </c>
      <c r="C14" s="321">
        <f>SUMIF('INTERNET JOB'!$A$2:$A$100,$B8,'INTERNET JOB'!$G$2:$G$100)</f>
        <v>0</v>
      </c>
      <c r="D14" s="322">
        <f>SUMIF('INTERNET JOB'!$A$2:$A$100,$B8,'INTERNET JOB'!$J$2:$J$100)</f>
        <v>0</v>
      </c>
      <c r="E14" s="385"/>
      <c r="F14" s="11"/>
      <c r="G14" s="288" t="s">
        <v>283</v>
      </c>
      <c r="H14" s="291" t="s">
        <v>219</v>
      </c>
      <c r="I14" s="292" t="s">
        <v>224</v>
      </c>
      <c r="J14" s="291" t="s">
        <v>231</v>
      </c>
      <c r="K14" s="292" t="s">
        <v>237</v>
      </c>
      <c r="L14" s="260"/>
      <c r="M14" s="272" t="str">
        <f t="shared" si="2"/>
        <v>FADAU</v>
      </c>
      <c r="N14" s="273">
        <f>SUMIFS(BOOTHS!$G$2:$G$100,BOOTHS!$A$2:$A$100,$M14,BOOTHS!$F$2:$F$100,"&gt;="&amp;N$2,BOOTHS!$F$2:$F$100,"&lt;="&amp;EOMONTH(N$2,0))
+SUMIFS('SOCIAL MEDIA'!$G$2:$G$100,'SOCIAL MEDIA'!$A$2:$A$100,$M14,'SOCIAL MEDIA'!$F$2:$F$100,"&gt;="&amp;N$2,'SOCIAL MEDIA'!$F$2:$F$100,"&lt;="&amp;EOMONTH(N$2,0))
+SUMIFS('INTERNET JOB'!$G$2:$G$100,'INTERNET JOB'!$A$2:$A$100,$M14,'INTERNET JOB'!$F$2:$F$100,"&gt;="&amp;N$2,'INTERNET JOB'!$F$2:$F$100,"&lt;="&amp;EOMONTH(N$2,0))</f>
        <v>0</v>
      </c>
      <c r="O14" s="273">
        <f>SUMIFS(BOOTHS!$G$2:$G$100,BOOTHS!$A$2:$A$100,$M14,BOOTHS!$F$2:$F$100,"&gt;="&amp;O$2,BOOTHS!$F$2:$F$100,"&lt;="&amp;EOMONTH(O$2,0))
+SUMIFS('SOCIAL MEDIA'!$G$2:$G$100,'SOCIAL MEDIA'!$A$2:$A$100,$M14,'SOCIAL MEDIA'!$F$2:$F$100,"&gt;="&amp;O$2,'SOCIAL MEDIA'!$F$2:$F$100,"&lt;="&amp;EOMONTH(O$2,0))
+SUMIFS('INTERNET JOB'!$G$2:$G$100,'INTERNET JOB'!$A$2:$A$100,$M14,'INTERNET JOB'!$F$2:$F$100,"&gt;="&amp;O$2,'INTERNET JOB'!$F$2:$F$100,"&lt;="&amp;EOMONTH(O$2,0))</f>
        <v>0</v>
      </c>
      <c r="P14" s="273">
        <f>SUMIFS(BOOTHS!$G$2:$G$100,BOOTHS!$A$2:$A$100,$M14,BOOTHS!$F$2:$F$100,"&gt;="&amp;P$2,BOOTHS!$F$2:$F$100,"&lt;="&amp;EOMONTH(P$2,0))
+SUMIFS('SOCIAL MEDIA'!$G$2:$G$100,'SOCIAL MEDIA'!$A$2:$A$100,$M14,'SOCIAL MEDIA'!$F$2:$F$100,"&gt;="&amp;P$2,'SOCIAL MEDIA'!$F$2:$F$100,"&lt;="&amp;EOMONTH(P$2,0))
+SUMIFS('INTERNET JOB'!$G$2:$G$100,'INTERNET JOB'!$A$2:$A$100,$M14,'INTERNET JOB'!$F$2:$F$100,"&gt;="&amp;P$2,'INTERNET JOB'!$F$2:$F$100,"&lt;="&amp;EOMONTH(P$2,0))</f>
        <v>0</v>
      </c>
      <c r="Q14" s="273">
        <f>SUMIFS(BOOTHS!$G$2:$G$100,BOOTHS!$A$2:$A$100,$M14,BOOTHS!$F$2:$F$100,"&gt;="&amp;Q$2,BOOTHS!$F$2:$F$100,"&lt;="&amp;EOMONTH(Q$2,0))
+SUMIFS('SOCIAL MEDIA'!$G$2:$G$100,'SOCIAL MEDIA'!$A$2:$A$100,$M14,'SOCIAL MEDIA'!$F$2:$F$100,"&gt;="&amp;Q$2,'SOCIAL MEDIA'!$F$2:$F$100,"&lt;="&amp;EOMONTH(Q$2,0))
+SUMIFS('INTERNET JOB'!$G$2:$G$100,'INTERNET JOB'!$A$2:$A$100,$M14,'INTERNET JOB'!$F$2:$F$100,"&gt;="&amp;Q$2,'INTERNET JOB'!$F$2:$F$100,"&lt;="&amp;EOMONTH(Q$2,0))</f>
        <v>0</v>
      </c>
      <c r="R14" s="273">
        <f>SUMIFS(BOOTHS!$G$2:$G$100,BOOTHS!$A$2:$A$100,$M14,BOOTHS!$F$2:$F$100,"&gt;="&amp;R$2,BOOTHS!$F$2:$F$100,"&lt;="&amp;EOMONTH(R$2,0))
+SUMIFS('SOCIAL MEDIA'!$G$2:$G$100,'SOCIAL MEDIA'!$A$2:$A$100,$M14,'SOCIAL MEDIA'!$F$2:$F$100,"&gt;="&amp;R$2,'SOCIAL MEDIA'!$F$2:$F$100,"&lt;="&amp;EOMONTH(R$2,0))
+SUMIFS('INTERNET JOB'!$G$2:$G$100,'INTERNET JOB'!$A$2:$A$100,$M14,'INTERNET JOB'!$F$2:$F$100,"&gt;="&amp;R$2,'INTERNET JOB'!$F$2:$F$100,"&lt;="&amp;EOMONTH(R$2,0))</f>
        <v>0</v>
      </c>
      <c r="S14" s="273">
        <f>SUMIFS(BOOTHS!$G$2:$G$100,BOOTHS!$A$2:$A$100,$M14,BOOTHS!$F$2:$F$100,"&gt;="&amp;S$2,BOOTHS!$F$2:$F$100,"&lt;="&amp;EOMONTH(S$2,0))
+SUMIFS('SOCIAL MEDIA'!$G$2:$G$100,'SOCIAL MEDIA'!$A$2:$A$100,$M14,'SOCIAL MEDIA'!$F$2:$F$100,"&gt;="&amp;S$2,'SOCIAL MEDIA'!$F$2:$F$100,"&lt;="&amp;EOMONTH(S$2,0))
+SUMIFS('INTERNET JOB'!$G$2:$G$100,'INTERNET JOB'!$A$2:$A$100,$M14,'INTERNET JOB'!$F$2:$F$100,"&gt;="&amp;S$2,'INTERNET JOB'!$F$2:$F$100,"&lt;="&amp;EOMONTH(S$2,0))</f>
        <v>0</v>
      </c>
      <c r="T14" s="273">
        <f>SUMIFS(BOOTHS!$G$2:$G$100,BOOTHS!$A$2:$A$100,$M14,BOOTHS!$F$2:$F$100,"&gt;="&amp;T$2,BOOTHS!$F$2:$F$100,"&lt;="&amp;EOMONTH(T$2,0))
+SUMIFS('SOCIAL MEDIA'!$G$2:$G$100,'SOCIAL MEDIA'!$A$2:$A$100,$M14,'SOCIAL MEDIA'!$F$2:$F$100,"&gt;="&amp;T$2,'SOCIAL MEDIA'!$F$2:$F$100,"&lt;="&amp;EOMONTH(T$2,0))
+SUMIFS('INTERNET JOB'!$G$2:$G$100,'INTERNET JOB'!$A$2:$A$100,$M14,'INTERNET JOB'!$F$2:$F$100,"&gt;="&amp;T$2,'INTERNET JOB'!$F$2:$F$100,"&lt;="&amp;EOMONTH(T$2,0))</f>
        <v>0</v>
      </c>
      <c r="U14" s="273">
        <f>SUMIFS(BOOTHS!$G$2:$G$100,BOOTHS!$A$2:$A$100,$M14,BOOTHS!$F$2:$F$100,"&gt;="&amp;U$2,BOOTHS!$F$2:$F$100,"&lt;="&amp;EOMONTH(U$2,0))
+SUMIFS('SOCIAL MEDIA'!$G$2:$G$100,'SOCIAL MEDIA'!$A$2:$A$100,$M14,'SOCIAL MEDIA'!$F$2:$F$100,"&gt;="&amp;U$2,'SOCIAL MEDIA'!$F$2:$F$100,"&lt;="&amp;EOMONTH(U$2,0))
+SUMIFS('INTERNET JOB'!$G$2:$G$100,'INTERNET JOB'!$A$2:$A$100,$M14,'INTERNET JOB'!$F$2:$F$100,"&gt;="&amp;U$2,'INTERNET JOB'!$F$2:$F$100,"&lt;="&amp;EOMONTH(U$2,0))</f>
        <v>0</v>
      </c>
      <c r="V14" s="273">
        <f>SUMIFS(BOOTHS!$G$2:$G$100,BOOTHS!$A$2:$A$100,$M14,BOOTHS!$F$2:$F$100,"&gt;="&amp;V$2,BOOTHS!$F$2:$F$100,"&lt;="&amp;EOMONTH(V$2,0))
+SUMIFS('SOCIAL MEDIA'!$G$2:$G$100,'SOCIAL MEDIA'!$A$2:$A$100,$M14,'SOCIAL MEDIA'!$F$2:$F$100,"&gt;="&amp;V$2,'SOCIAL MEDIA'!$F$2:$F$100,"&lt;="&amp;EOMONTH(V$2,0))
+SUMIFS('INTERNET JOB'!$G$2:$G$100,'INTERNET JOB'!$A$2:$A$100,$M14,'INTERNET JOB'!$F$2:$F$100,"&gt;="&amp;V$2,'INTERNET JOB'!$F$2:$F$100,"&lt;="&amp;EOMONTH(V$2,0))</f>
        <v>0</v>
      </c>
      <c r="W14" s="273">
        <f>SUMIFS(BOOTHS!$G$2:$G$100,BOOTHS!$A$2:$A$100,$M14,BOOTHS!$F$2:$F$100,"&gt;="&amp;W$2,BOOTHS!$F$2:$F$100,"&lt;="&amp;EOMONTH(W$2,0))
+SUMIFS('SOCIAL MEDIA'!$G$2:$G$100,'SOCIAL MEDIA'!$A$2:$A$100,$M14,'SOCIAL MEDIA'!$F$2:$F$100,"&gt;="&amp;W$2,'SOCIAL MEDIA'!$F$2:$F$100,"&lt;="&amp;EOMONTH(W$2,0))
+SUMIFS('INTERNET JOB'!$G$2:$G$100,'INTERNET JOB'!$A$2:$A$100,$M14,'INTERNET JOB'!$F$2:$F$100,"&gt;="&amp;W$2,'INTERNET JOB'!$F$2:$F$100,"&lt;="&amp;EOMONTH(W$2,0))</f>
        <v>0</v>
      </c>
      <c r="X14" s="273">
        <f>SUMIFS(BOOTHS!$G$2:$G$100,BOOTHS!$A$2:$A$100,$M14,BOOTHS!$F$2:$F$100,"&gt;="&amp;X$2,BOOTHS!$F$2:$F$100,"&lt;="&amp;EOMONTH(X$2,0))
+SUMIFS('SOCIAL MEDIA'!$G$2:$G$100,'SOCIAL MEDIA'!$A$2:$A$100,$M14,'SOCIAL MEDIA'!$F$2:$F$100,"&gt;="&amp;X$2,'SOCIAL MEDIA'!$F$2:$F$100,"&lt;="&amp;EOMONTH(X$2,0))
+SUMIFS('INTERNET JOB'!$G$2:$G$100,'INTERNET JOB'!$A$2:$A$100,$M14,'INTERNET JOB'!$F$2:$F$100,"&gt;="&amp;X$2,'INTERNET JOB'!$F$2:$F$100,"&lt;="&amp;EOMONTH(X$2,0))</f>
        <v>0</v>
      </c>
      <c r="Y14" s="274">
        <f>SUMIFS(BOOTHS!$G$2:$G$100,BOOTHS!$A$2:$A$100,$M14,BOOTHS!$F$2:$F$100,"&gt;="&amp;Y$2,BOOTHS!$F$2:$F$100,"&lt;="&amp;EOMONTH(Y$2,0))
+SUMIFS('SOCIAL MEDIA'!$G$2:$G$100,'SOCIAL MEDIA'!$A$2:$A$100,$M14,'SOCIAL MEDIA'!$F$2:$F$100,"&gt;="&amp;Y$2,'SOCIAL MEDIA'!$F$2:$F$100,"&lt;="&amp;EOMONTH(Y$2,0))
+SUMIFS('INTERNET JOB'!$G$2:$G$100,'INTERNET JOB'!$A$2:$A$100,$M14,'INTERNET JOB'!$F$2:$F$100,"&gt;="&amp;Y$2,'INTERNET JOB'!$F$2:$F$100,"&lt;="&amp;EOMONTH(Y$2,0))</f>
        <v>0</v>
      </c>
      <c r="Z14" s="267">
        <f t="shared" si="1"/>
        <v>0</v>
      </c>
    </row>
    <row r="15" spans="1:26" x14ac:dyDescent="0.25">
      <c r="A15" s="323" t="s">
        <v>301</v>
      </c>
      <c r="B15" s="324" t="s">
        <v>247</v>
      </c>
      <c r="C15" s="325">
        <v>0</v>
      </c>
      <c r="D15" s="326">
        <v>0</v>
      </c>
      <c r="E15" s="386"/>
      <c r="F15" s="11"/>
      <c r="G15" s="288" t="s">
        <v>284</v>
      </c>
      <c r="H15" s="291" t="s">
        <v>219</v>
      </c>
      <c r="I15" s="292" t="s">
        <v>224</v>
      </c>
      <c r="J15" s="291" t="s">
        <v>231</v>
      </c>
      <c r="K15" s="292" t="s">
        <v>237</v>
      </c>
      <c r="L15" s="260"/>
      <c r="M15" s="272" t="str">
        <f t="shared" si="2"/>
        <v>FAD9N</v>
      </c>
      <c r="N15" s="273">
        <f>SUMIFS(BOOTHS!$G$2:$G$100,BOOTHS!$A$2:$A$100,$M15,BOOTHS!$F$2:$F$100,"&gt;="&amp;N$2,BOOTHS!$F$2:$F$100,"&lt;="&amp;EOMONTH(N$2,0))
+SUMIFS('SOCIAL MEDIA'!$G$2:$G$100,'SOCIAL MEDIA'!$A$2:$A$100,$M15,'SOCIAL MEDIA'!$F$2:$F$100,"&gt;="&amp;N$2,'SOCIAL MEDIA'!$F$2:$F$100,"&lt;="&amp;EOMONTH(N$2,0))
+SUMIFS('INTERNET JOB'!$G$2:$G$100,'INTERNET JOB'!$A$2:$A$100,$M15,'INTERNET JOB'!$F$2:$F$100,"&gt;="&amp;N$2,'INTERNET JOB'!$F$2:$F$100,"&lt;="&amp;EOMONTH(N$2,0))</f>
        <v>0</v>
      </c>
      <c r="O15" s="273">
        <f>SUMIFS(BOOTHS!$G$2:$G$100,BOOTHS!$A$2:$A$100,$M15,BOOTHS!$F$2:$F$100,"&gt;="&amp;O$2,BOOTHS!$F$2:$F$100,"&lt;="&amp;EOMONTH(O$2,0))
+SUMIFS('SOCIAL MEDIA'!$G$2:$G$100,'SOCIAL MEDIA'!$A$2:$A$100,$M15,'SOCIAL MEDIA'!$F$2:$F$100,"&gt;="&amp;O$2,'SOCIAL MEDIA'!$F$2:$F$100,"&lt;="&amp;EOMONTH(O$2,0))
+SUMIFS('INTERNET JOB'!$G$2:$G$100,'INTERNET JOB'!$A$2:$A$100,$M15,'INTERNET JOB'!$F$2:$F$100,"&gt;="&amp;O$2,'INTERNET JOB'!$F$2:$F$100,"&lt;="&amp;EOMONTH(O$2,0))</f>
        <v>0</v>
      </c>
      <c r="P15" s="273">
        <f>SUMIFS(BOOTHS!$G$2:$G$100,BOOTHS!$A$2:$A$100,$M15,BOOTHS!$F$2:$F$100,"&gt;="&amp;P$2,BOOTHS!$F$2:$F$100,"&lt;="&amp;EOMONTH(P$2,0))
+SUMIFS('SOCIAL MEDIA'!$G$2:$G$100,'SOCIAL MEDIA'!$A$2:$A$100,$M15,'SOCIAL MEDIA'!$F$2:$F$100,"&gt;="&amp;P$2,'SOCIAL MEDIA'!$F$2:$F$100,"&lt;="&amp;EOMONTH(P$2,0))
+SUMIFS('INTERNET JOB'!$G$2:$G$100,'INTERNET JOB'!$A$2:$A$100,$M15,'INTERNET JOB'!$F$2:$F$100,"&gt;="&amp;P$2,'INTERNET JOB'!$F$2:$F$100,"&lt;="&amp;EOMONTH(P$2,0))</f>
        <v>0</v>
      </c>
      <c r="Q15" s="273">
        <f>SUMIFS(BOOTHS!$G$2:$G$100,BOOTHS!$A$2:$A$100,$M15,BOOTHS!$F$2:$F$100,"&gt;="&amp;Q$2,BOOTHS!$F$2:$F$100,"&lt;="&amp;EOMONTH(Q$2,0))
+SUMIFS('SOCIAL MEDIA'!$G$2:$G$100,'SOCIAL MEDIA'!$A$2:$A$100,$M15,'SOCIAL MEDIA'!$F$2:$F$100,"&gt;="&amp;Q$2,'SOCIAL MEDIA'!$F$2:$F$100,"&lt;="&amp;EOMONTH(Q$2,0))
+SUMIFS('INTERNET JOB'!$G$2:$G$100,'INTERNET JOB'!$A$2:$A$100,$M15,'INTERNET JOB'!$F$2:$F$100,"&gt;="&amp;Q$2,'INTERNET JOB'!$F$2:$F$100,"&lt;="&amp;EOMONTH(Q$2,0))</f>
        <v>0</v>
      </c>
      <c r="R15" s="273">
        <f>SUMIFS(BOOTHS!$G$2:$G$100,BOOTHS!$A$2:$A$100,$M15,BOOTHS!$F$2:$F$100,"&gt;="&amp;R$2,BOOTHS!$F$2:$F$100,"&lt;="&amp;EOMONTH(R$2,0))
+SUMIFS('SOCIAL MEDIA'!$G$2:$G$100,'SOCIAL MEDIA'!$A$2:$A$100,$M15,'SOCIAL MEDIA'!$F$2:$F$100,"&gt;="&amp;R$2,'SOCIAL MEDIA'!$F$2:$F$100,"&lt;="&amp;EOMONTH(R$2,0))
+SUMIFS('INTERNET JOB'!$G$2:$G$100,'INTERNET JOB'!$A$2:$A$100,$M15,'INTERNET JOB'!$F$2:$F$100,"&gt;="&amp;R$2,'INTERNET JOB'!$F$2:$F$100,"&lt;="&amp;EOMONTH(R$2,0))</f>
        <v>0</v>
      </c>
      <c r="S15" s="273">
        <f>SUMIFS(BOOTHS!$G$2:$G$100,BOOTHS!$A$2:$A$100,$M15,BOOTHS!$F$2:$F$100,"&gt;="&amp;S$2,BOOTHS!$F$2:$F$100,"&lt;="&amp;EOMONTH(S$2,0))
+SUMIFS('SOCIAL MEDIA'!$G$2:$G$100,'SOCIAL MEDIA'!$A$2:$A$100,$M15,'SOCIAL MEDIA'!$F$2:$F$100,"&gt;="&amp;S$2,'SOCIAL MEDIA'!$F$2:$F$100,"&lt;="&amp;EOMONTH(S$2,0))
+SUMIFS('INTERNET JOB'!$G$2:$G$100,'INTERNET JOB'!$A$2:$A$100,$M15,'INTERNET JOB'!$F$2:$F$100,"&gt;="&amp;S$2,'INTERNET JOB'!$F$2:$F$100,"&lt;="&amp;EOMONTH(S$2,0))</f>
        <v>0</v>
      </c>
      <c r="T15" s="273">
        <f>SUMIFS(BOOTHS!$G$2:$G$100,BOOTHS!$A$2:$A$100,$M15,BOOTHS!$F$2:$F$100,"&gt;="&amp;T$2,BOOTHS!$F$2:$F$100,"&lt;="&amp;EOMONTH(T$2,0))
+SUMIFS('SOCIAL MEDIA'!$G$2:$G$100,'SOCIAL MEDIA'!$A$2:$A$100,$M15,'SOCIAL MEDIA'!$F$2:$F$100,"&gt;="&amp;T$2,'SOCIAL MEDIA'!$F$2:$F$100,"&lt;="&amp;EOMONTH(T$2,0))
+SUMIFS('INTERNET JOB'!$G$2:$G$100,'INTERNET JOB'!$A$2:$A$100,$M15,'INTERNET JOB'!$F$2:$F$100,"&gt;="&amp;T$2,'INTERNET JOB'!$F$2:$F$100,"&lt;="&amp;EOMONTH(T$2,0))</f>
        <v>0</v>
      </c>
      <c r="U15" s="273">
        <f>SUMIFS(BOOTHS!$G$2:$G$100,BOOTHS!$A$2:$A$100,$M15,BOOTHS!$F$2:$F$100,"&gt;="&amp;U$2,BOOTHS!$F$2:$F$100,"&lt;="&amp;EOMONTH(U$2,0))
+SUMIFS('SOCIAL MEDIA'!$G$2:$G$100,'SOCIAL MEDIA'!$A$2:$A$100,$M15,'SOCIAL MEDIA'!$F$2:$F$100,"&gt;="&amp;U$2,'SOCIAL MEDIA'!$F$2:$F$100,"&lt;="&amp;EOMONTH(U$2,0))
+SUMIFS('INTERNET JOB'!$G$2:$G$100,'INTERNET JOB'!$A$2:$A$100,$M15,'INTERNET JOB'!$F$2:$F$100,"&gt;="&amp;U$2,'INTERNET JOB'!$F$2:$F$100,"&lt;="&amp;EOMONTH(U$2,0))</f>
        <v>0</v>
      </c>
      <c r="V15" s="273">
        <f>SUMIFS(BOOTHS!$G$2:$G$100,BOOTHS!$A$2:$A$100,$M15,BOOTHS!$F$2:$F$100,"&gt;="&amp;V$2,BOOTHS!$F$2:$F$100,"&lt;="&amp;EOMONTH(V$2,0))
+SUMIFS('SOCIAL MEDIA'!$G$2:$G$100,'SOCIAL MEDIA'!$A$2:$A$100,$M15,'SOCIAL MEDIA'!$F$2:$F$100,"&gt;="&amp;V$2,'SOCIAL MEDIA'!$F$2:$F$100,"&lt;="&amp;EOMONTH(V$2,0))
+SUMIFS('INTERNET JOB'!$G$2:$G$100,'INTERNET JOB'!$A$2:$A$100,$M15,'INTERNET JOB'!$F$2:$F$100,"&gt;="&amp;V$2,'INTERNET JOB'!$F$2:$F$100,"&lt;="&amp;EOMONTH(V$2,0))</f>
        <v>0</v>
      </c>
      <c r="W15" s="273">
        <f>SUMIFS(BOOTHS!$G$2:$G$100,BOOTHS!$A$2:$A$100,$M15,BOOTHS!$F$2:$F$100,"&gt;="&amp;W$2,BOOTHS!$F$2:$F$100,"&lt;="&amp;EOMONTH(W$2,0))
+SUMIFS('SOCIAL MEDIA'!$G$2:$G$100,'SOCIAL MEDIA'!$A$2:$A$100,$M15,'SOCIAL MEDIA'!$F$2:$F$100,"&gt;="&amp;W$2,'SOCIAL MEDIA'!$F$2:$F$100,"&lt;="&amp;EOMONTH(W$2,0))
+SUMIFS('INTERNET JOB'!$G$2:$G$100,'INTERNET JOB'!$A$2:$A$100,$M15,'INTERNET JOB'!$F$2:$F$100,"&gt;="&amp;W$2,'INTERNET JOB'!$F$2:$F$100,"&lt;="&amp;EOMONTH(W$2,0))</f>
        <v>0</v>
      </c>
      <c r="X15" s="273">
        <f>SUMIFS(BOOTHS!$G$2:$G$100,BOOTHS!$A$2:$A$100,$M15,BOOTHS!$F$2:$F$100,"&gt;="&amp;X$2,BOOTHS!$F$2:$F$100,"&lt;="&amp;EOMONTH(X$2,0))
+SUMIFS('SOCIAL MEDIA'!$G$2:$G$100,'SOCIAL MEDIA'!$A$2:$A$100,$M15,'SOCIAL MEDIA'!$F$2:$F$100,"&gt;="&amp;X$2,'SOCIAL MEDIA'!$F$2:$F$100,"&lt;="&amp;EOMONTH(X$2,0))
+SUMIFS('INTERNET JOB'!$G$2:$G$100,'INTERNET JOB'!$A$2:$A$100,$M15,'INTERNET JOB'!$F$2:$F$100,"&gt;="&amp;X$2,'INTERNET JOB'!$F$2:$F$100,"&lt;="&amp;EOMONTH(X$2,0))</f>
        <v>0</v>
      </c>
      <c r="Y15" s="274">
        <f>SUMIFS(BOOTHS!$G$2:$G$100,BOOTHS!$A$2:$A$100,$M15,BOOTHS!$F$2:$F$100,"&gt;="&amp;Y$2,BOOTHS!$F$2:$F$100,"&lt;="&amp;EOMONTH(Y$2,0))
+SUMIFS('SOCIAL MEDIA'!$G$2:$G$100,'SOCIAL MEDIA'!$A$2:$A$100,$M15,'SOCIAL MEDIA'!$F$2:$F$100,"&gt;="&amp;Y$2,'SOCIAL MEDIA'!$F$2:$F$100,"&lt;="&amp;EOMONTH(Y$2,0))
+SUMIFS('INTERNET JOB'!$G$2:$G$100,'INTERNET JOB'!$A$2:$A$100,$M15,'INTERNET JOB'!$F$2:$F$100,"&gt;="&amp;Y$2,'INTERNET JOB'!$F$2:$F$100,"&lt;="&amp;EOMONTH(Y$2,0))</f>
        <v>0</v>
      </c>
      <c r="Z15" s="267">
        <f t="shared" si="1"/>
        <v>0</v>
      </c>
    </row>
    <row r="16" spans="1:26" ht="15.75" thickBot="1" x14ac:dyDescent="0.3">
      <c r="A16" s="327" t="s">
        <v>302</v>
      </c>
      <c r="B16" s="328" t="s">
        <v>246</v>
      </c>
      <c r="C16" s="329">
        <v>0</v>
      </c>
      <c r="D16" s="330">
        <v>0</v>
      </c>
      <c r="E16" s="387"/>
      <c r="F16" s="11"/>
      <c r="G16" s="288" t="s">
        <v>184</v>
      </c>
      <c r="H16" s="291" t="s">
        <v>219</v>
      </c>
      <c r="I16" s="292" t="s">
        <v>224</v>
      </c>
      <c r="J16" s="291" t="s">
        <v>231</v>
      </c>
      <c r="K16" s="292" t="s">
        <v>237</v>
      </c>
      <c r="L16" s="260"/>
      <c r="M16" s="272" t="str">
        <f t="shared" si="2"/>
        <v>FADAV</v>
      </c>
      <c r="N16" s="273">
        <f>SUMIFS(BOOTHS!$G$2:$G$100,BOOTHS!$A$2:$A$100,$M16,BOOTHS!$F$2:$F$100,"&gt;="&amp;N$2,BOOTHS!$F$2:$F$100,"&lt;="&amp;EOMONTH(N$2,0))
+SUMIFS('SOCIAL MEDIA'!$G$2:$G$100,'SOCIAL MEDIA'!$A$2:$A$100,$M16,'SOCIAL MEDIA'!$F$2:$F$100,"&gt;="&amp;N$2,'SOCIAL MEDIA'!$F$2:$F$100,"&lt;="&amp;EOMONTH(N$2,0))
+SUMIFS('INTERNET JOB'!$G$2:$G$100,'INTERNET JOB'!$A$2:$A$100,$M16,'INTERNET JOB'!$F$2:$F$100,"&gt;="&amp;N$2,'INTERNET JOB'!$F$2:$F$100,"&lt;="&amp;EOMONTH(N$2,0))</f>
        <v>0</v>
      </c>
      <c r="O16" s="273">
        <f>SUMIFS(BOOTHS!$G$2:$G$100,BOOTHS!$A$2:$A$100,$M16,BOOTHS!$F$2:$F$100,"&gt;="&amp;O$2,BOOTHS!$F$2:$F$100,"&lt;="&amp;EOMONTH(O$2,0))
+SUMIFS('SOCIAL MEDIA'!$G$2:$G$100,'SOCIAL MEDIA'!$A$2:$A$100,$M16,'SOCIAL MEDIA'!$F$2:$F$100,"&gt;="&amp;O$2,'SOCIAL MEDIA'!$F$2:$F$100,"&lt;="&amp;EOMONTH(O$2,0))
+SUMIFS('INTERNET JOB'!$G$2:$G$100,'INTERNET JOB'!$A$2:$A$100,$M16,'INTERNET JOB'!$F$2:$F$100,"&gt;="&amp;O$2,'INTERNET JOB'!$F$2:$F$100,"&lt;="&amp;EOMONTH(O$2,0))</f>
        <v>0</v>
      </c>
      <c r="P16" s="273">
        <f>SUMIFS(BOOTHS!$G$2:$G$100,BOOTHS!$A$2:$A$100,$M16,BOOTHS!$F$2:$F$100,"&gt;="&amp;P$2,BOOTHS!$F$2:$F$100,"&lt;="&amp;EOMONTH(P$2,0))
+SUMIFS('SOCIAL MEDIA'!$G$2:$G$100,'SOCIAL MEDIA'!$A$2:$A$100,$M16,'SOCIAL MEDIA'!$F$2:$F$100,"&gt;="&amp;P$2,'SOCIAL MEDIA'!$F$2:$F$100,"&lt;="&amp;EOMONTH(P$2,0))
+SUMIFS('INTERNET JOB'!$G$2:$G$100,'INTERNET JOB'!$A$2:$A$100,$M16,'INTERNET JOB'!$F$2:$F$100,"&gt;="&amp;P$2,'INTERNET JOB'!$F$2:$F$100,"&lt;="&amp;EOMONTH(P$2,0))</f>
        <v>0</v>
      </c>
      <c r="Q16" s="273">
        <f>SUMIFS(BOOTHS!$G$2:$G$100,BOOTHS!$A$2:$A$100,$M16,BOOTHS!$F$2:$F$100,"&gt;="&amp;Q$2,BOOTHS!$F$2:$F$100,"&lt;="&amp;EOMONTH(Q$2,0))
+SUMIFS('SOCIAL MEDIA'!$G$2:$G$100,'SOCIAL MEDIA'!$A$2:$A$100,$M16,'SOCIAL MEDIA'!$F$2:$F$100,"&gt;="&amp;Q$2,'SOCIAL MEDIA'!$F$2:$F$100,"&lt;="&amp;EOMONTH(Q$2,0))
+SUMIFS('INTERNET JOB'!$G$2:$G$100,'INTERNET JOB'!$A$2:$A$100,$M16,'INTERNET JOB'!$F$2:$F$100,"&gt;="&amp;Q$2,'INTERNET JOB'!$F$2:$F$100,"&lt;="&amp;EOMONTH(Q$2,0))</f>
        <v>0</v>
      </c>
      <c r="R16" s="273">
        <f>SUMIFS(BOOTHS!$G$2:$G$100,BOOTHS!$A$2:$A$100,$M16,BOOTHS!$F$2:$F$100,"&gt;="&amp;R$2,BOOTHS!$F$2:$F$100,"&lt;="&amp;EOMONTH(R$2,0))
+SUMIFS('SOCIAL MEDIA'!$G$2:$G$100,'SOCIAL MEDIA'!$A$2:$A$100,$M16,'SOCIAL MEDIA'!$F$2:$F$100,"&gt;="&amp;R$2,'SOCIAL MEDIA'!$F$2:$F$100,"&lt;="&amp;EOMONTH(R$2,0))
+SUMIFS('INTERNET JOB'!$G$2:$G$100,'INTERNET JOB'!$A$2:$A$100,$M16,'INTERNET JOB'!$F$2:$F$100,"&gt;="&amp;R$2,'INTERNET JOB'!$F$2:$F$100,"&lt;="&amp;EOMONTH(R$2,0))</f>
        <v>0</v>
      </c>
      <c r="S16" s="273">
        <f>SUMIFS(BOOTHS!$G$2:$G$100,BOOTHS!$A$2:$A$100,$M16,BOOTHS!$F$2:$F$100,"&gt;="&amp;S$2,BOOTHS!$F$2:$F$100,"&lt;="&amp;EOMONTH(S$2,0))
+SUMIFS('SOCIAL MEDIA'!$G$2:$G$100,'SOCIAL MEDIA'!$A$2:$A$100,$M16,'SOCIAL MEDIA'!$F$2:$F$100,"&gt;="&amp;S$2,'SOCIAL MEDIA'!$F$2:$F$100,"&lt;="&amp;EOMONTH(S$2,0))
+SUMIFS('INTERNET JOB'!$G$2:$G$100,'INTERNET JOB'!$A$2:$A$100,$M16,'INTERNET JOB'!$F$2:$F$100,"&gt;="&amp;S$2,'INTERNET JOB'!$F$2:$F$100,"&lt;="&amp;EOMONTH(S$2,0))</f>
        <v>0</v>
      </c>
      <c r="T16" s="273">
        <f>SUMIFS(BOOTHS!$G$2:$G$100,BOOTHS!$A$2:$A$100,$M16,BOOTHS!$F$2:$F$100,"&gt;="&amp;T$2,BOOTHS!$F$2:$F$100,"&lt;="&amp;EOMONTH(T$2,0))
+SUMIFS('SOCIAL MEDIA'!$G$2:$G$100,'SOCIAL MEDIA'!$A$2:$A$100,$M16,'SOCIAL MEDIA'!$F$2:$F$100,"&gt;="&amp;T$2,'SOCIAL MEDIA'!$F$2:$F$100,"&lt;="&amp;EOMONTH(T$2,0))
+SUMIFS('INTERNET JOB'!$G$2:$G$100,'INTERNET JOB'!$A$2:$A$100,$M16,'INTERNET JOB'!$F$2:$F$100,"&gt;="&amp;T$2,'INTERNET JOB'!$F$2:$F$100,"&lt;="&amp;EOMONTH(T$2,0))</f>
        <v>0</v>
      </c>
      <c r="U16" s="273">
        <f>SUMIFS(BOOTHS!$G$2:$G$100,BOOTHS!$A$2:$A$100,$M16,BOOTHS!$F$2:$F$100,"&gt;="&amp;U$2,BOOTHS!$F$2:$F$100,"&lt;="&amp;EOMONTH(U$2,0))
+SUMIFS('SOCIAL MEDIA'!$G$2:$G$100,'SOCIAL MEDIA'!$A$2:$A$100,$M16,'SOCIAL MEDIA'!$F$2:$F$100,"&gt;="&amp;U$2,'SOCIAL MEDIA'!$F$2:$F$100,"&lt;="&amp;EOMONTH(U$2,0))
+SUMIFS('INTERNET JOB'!$G$2:$G$100,'INTERNET JOB'!$A$2:$A$100,$M16,'INTERNET JOB'!$F$2:$F$100,"&gt;="&amp;U$2,'INTERNET JOB'!$F$2:$F$100,"&lt;="&amp;EOMONTH(U$2,0))</f>
        <v>0</v>
      </c>
      <c r="V16" s="273">
        <f>SUMIFS(BOOTHS!$G$2:$G$100,BOOTHS!$A$2:$A$100,$M16,BOOTHS!$F$2:$F$100,"&gt;="&amp;V$2,BOOTHS!$F$2:$F$100,"&lt;="&amp;EOMONTH(V$2,0))
+SUMIFS('SOCIAL MEDIA'!$G$2:$G$100,'SOCIAL MEDIA'!$A$2:$A$100,$M16,'SOCIAL MEDIA'!$F$2:$F$100,"&gt;="&amp;V$2,'SOCIAL MEDIA'!$F$2:$F$100,"&lt;="&amp;EOMONTH(V$2,0))
+SUMIFS('INTERNET JOB'!$G$2:$G$100,'INTERNET JOB'!$A$2:$A$100,$M16,'INTERNET JOB'!$F$2:$F$100,"&gt;="&amp;V$2,'INTERNET JOB'!$F$2:$F$100,"&lt;="&amp;EOMONTH(V$2,0))</f>
        <v>0</v>
      </c>
      <c r="W16" s="273">
        <f>SUMIFS(BOOTHS!$G$2:$G$100,BOOTHS!$A$2:$A$100,$M16,BOOTHS!$F$2:$F$100,"&gt;="&amp;W$2,BOOTHS!$F$2:$F$100,"&lt;="&amp;EOMONTH(W$2,0))
+SUMIFS('SOCIAL MEDIA'!$G$2:$G$100,'SOCIAL MEDIA'!$A$2:$A$100,$M16,'SOCIAL MEDIA'!$F$2:$F$100,"&gt;="&amp;W$2,'SOCIAL MEDIA'!$F$2:$F$100,"&lt;="&amp;EOMONTH(W$2,0))
+SUMIFS('INTERNET JOB'!$G$2:$G$100,'INTERNET JOB'!$A$2:$A$100,$M16,'INTERNET JOB'!$F$2:$F$100,"&gt;="&amp;W$2,'INTERNET JOB'!$F$2:$F$100,"&lt;="&amp;EOMONTH(W$2,0))</f>
        <v>0</v>
      </c>
      <c r="X16" s="273">
        <f>SUMIFS(BOOTHS!$G$2:$G$100,BOOTHS!$A$2:$A$100,$M16,BOOTHS!$F$2:$F$100,"&gt;="&amp;X$2,BOOTHS!$F$2:$F$100,"&lt;="&amp;EOMONTH(X$2,0))
+SUMIFS('SOCIAL MEDIA'!$G$2:$G$100,'SOCIAL MEDIA'!$A$2:$A$100,$M16,'SOCIAL MEDIA'!$F$2:$F$100,"&gt;="&amp;X$2,'SOCIAL MEDIA'!$F$2:$F$100,"&lt;="&amp;EOMONTH(X$2,0))
+SUMIFS('INTERNET JOB'!$G$2:$G$100,'INTERNET JOB'!$A$2:$A$100,$M16,'INTERNET JOB'!$F$2:$F$100,"&gt;="&amp;X$2,'INTERNET JOB'!$F$2:$F$100,"&lt;="&amp;EOMONTH(X$2,0))</f>
        <v>0</v>
      </c>
      <c r="Y16" s="274">
        <f>SUMIFS(BOOTHS!$G$2:$G$100,BOOTHS!$A$2:$A$100,$M16,BOOTHS!$F$2:$F$100,"&gt;="&amp;Y$2,BOOTHS!$F$2:$F$100,"&lt;="&amp;EOMONTH(Y$2,0))
+SUMIFS('SOCIAL MEDIA'!$G$2:$G$100,'SOCIAL MEDIA'!$A$2:$A$100,$M16,'SOCIAL MEDIA'!$F$2:$F$100,"&gt;="&amp;Y$2,'SOCIAL MEDIA'!$F$2:$F$100,"&lt;="&amp;EOMONTH(Y$2,0))
+SUMIFS('INTERNET JOB'!$G$2:$G$100,'INTERNET JOB'!$A$2:$A$100,$M16,'INTERNET JOB'!$F$2:$F$100,"&gt;="&amp;Y$2,'INTERNET JOB'!$F$2:$F$100,"&lt;="&amp;EOMONTH(Y$2,0))</f>
        <v>0</v>
      </c>
      <c r="Z16" s="267">
        <f t="shared" si="1"/>
        <v>0</v>
      </c>
    </row>
    <row r="17" spans="1:26" x14ac:dyDescent="0.25">
      <c r="A17" s="331" t="s">
        <v>166</v>
      </c>
      <c r="B17" s="332" t="s">
        <v>248</v>
      </c>
      <c r="C17" s="333">
        <f>SUMIF(BOOTHS!$A$2:$A$100,B17,BOOTHS!$G$2:$G$100)</f>
        <v>0</v>
      </c>
      <c r="D17" s="334">
        <f>SUMIF(BOOTHS!$A$2:$A$100,$B17,BOOTHS!$J$2:$J$100)</f>
        <v>0</v>
      </c>
      <c r="E17" s="388"/>
      <c r="F17" s="11"/>
      <c r="G17" s="288" t="s">
        <v>217</v>
      </c>
      <c r="H17" s="291" t="s">
        <v>219</v>
      </c>
      <c r="I17" s="292" t="s">
        <v>224</v>
      </c>
      <c r="J17" s="291" t="s">
        <v>231</v>
      </c>
      <c r="K17" s="292" t="s">
        <v>237</v>
      </c>
      <c r="L17" s="260"/>
      <c r="M17" s="272" t="str">
        <f t="shared" si="2"/>
        <v>FADAX</v>
      </c>
      <c r="N17" s="273">
        <f>SUMIFS(BOOTHS!$G$2:$G$100,BOOTHS!$A$2:$A$100,$M17,BOOTHS!$F$2:$F$100,"&gt;="&amp;N$2,BOOTHS!$F$2:$F$100,"&lt;="&amp;EOMONTH(N$2,0))
+SUMIFS('SOCIAL MEDIA'!$G$2:$G$100,'SOCIAL MEDIA'!$A$2:$A$100,$M17,'SOCIAL MEDIA'!$F$2:$F$100,"&gt;="&amp;N$2,'SOCIAL MEDIA'!$F$2:$F$100,"&lt;="&amp;EOMONTH(N$2,0))
+SUMIFS('INTERNET JOB'!$G$2:$G$100,'INTERNET JOB'!$A$2:$A$100,$M17,'INTERNET JOB'!$F$2:$F$100,"&gt;="&amp;N$2,'INTERNET JOB'!$F$2:$F$100,"&lt;="&amp;EOMONTH(N$2,0))</f>
        <v>0</v>
      </c>
      <c r="O17" s="273">
        <f>SUMIFS(BOOTHS!$G$2:$G$100,BOOTHS!$A$2:$A$100,$M17,BOOTHS!$F$2:$F$100,"&gt;="&amp;O$2,BOOTHS!$F$2:$F$100,"&lt;="&amp;EOMONTH(O$2,0))
+SUMIFS('SOCIAL MEDIA'!$G$2:$G$100,'SOCIAL MEDIA'!$A$2:$A$100,$M17,'SOCIAL MEDIA'!$F$2:$F$100,"&gt;="&amp;O$2,'SOCIAL MEDIA'!$F$2:$F$100,"&lt;="&amp;EOMONTH(O$2,0))
+SUMIFS('INTERNET JOB'!$G$2:$G$100,'INTERNET JOB'!$A$2:$A$100,$M17,'INTERNET JOB'!$F$2:$F$100,"&gt;="&amp;O$2,'INTERNET JOB'!$F$2:$F$100,"&lt;="&amp;EOMONTH(O$2,0))</f>
        <v>0</v>
      </c>
      <c r="P17" s="273">
        <f>SUMIFS(BOOTHS!$G$2:$G$100,BOOTHS!$A$2:$A$100,$M17,BOOTHS!$F$2:$F$100,"&gt;="&amp;P$2,BOOTHS!$F$2:$F$100,"&lt;="&amp;EOMONTH(P$2,0))
+SUMIFS('SOCIAL MEDIA'!$G$2:$G$100,'SOCIAL MEDIA'!$A$2:$A$100,$M17,'SOCIAL MEDIA'!$F$2:$F$100,"&gt;="&amp;P$2,'SOCIAL MEDIA'!$F$2:$F$100,"&lt;="&amp;EOMONTH(P$2,0))
+SUMIFS('INTERNET JOB'!$G$2:$G$100,'INTERNET JOB'!$A$2:$A$100,$M17,'INTERNET JOB'!$F$2:$F$100,"&gt;="&amp;P$2,'INTERNET JOB'!$F$2:$F$100,"&lt;="&amp;EOMONTH(P$2,0))</f>
        <v>0</v>
      </c>
      <c r="Q17" s="273">
        <f>SUMIFS(BOOTHS!$G$2:$G$100,BOOTHS!$A$2:$A$100,$M17,BOOTHS!$F$2:$F$100,"&gt;="&amp;Q$2,BOOTHS!$F$2:$F$100,"&lt;="&amp;EOMONTH(Q$2,0))
+SUMIFS('SOCIAL MEDIA'!$G$2:$G$100,'SOCIAL MEDIA'!$A$2:$A$100,$M17,'SOCIAL MEDIA'!$F$2:$F$100,"&gt;="&amp;Q$2,'SOCIAL MEDIA'!$F$2:$F$100,"&lt;="&amp;EOMONTH(Q$2,0))
+SUMIFS('INTERNET JOB'!$G$2:$G$100,'INTERNET JOB'!$A$2:$A$100,$M17,'INTERNET JOB'!$F$2:$F$100,"&gt;="&amp;Q$2,'INTERNET JOB'!$F$2:$F$100,"&lt;="&amp;EOMONTH(Q$2,0))</f>
        <v>0</v>
      </c>
      <c r="R17" s="273">
        <f>SUMIFS(BOOTHS!$G$2:$G$100,BOOTHS!$A$2:$A$100,$M17,BOOTHS!$F$2:$F$100,"&gt;="&amp;R$2,BOOTHS!$F$2:$F$100,"&lt;="&amp;EOMONTH(R$2,0))
+SUMIFS('SOCIAL MEDIA'!$G$2:$G$100,'SOCIAL MEDIA'!$A$2:$A$100,$M17,'SOCIAL MEDIA'!$F$2:$F$100,"&gt;="&amp;R$2,'SOCIAL MEDIA'!$F$2:$F$100,"&lt;="&amp;EOMONTH(R$2,0))
+SUMIFS('INTERNET JOB'!$G$2:$G$100,'INTERNET JOB'!$A$2:$A$100,$M17,'INTERNET JOB'!$F$2:$F$100,"&gt;="&amp;R$2,'INTERNET JOB'!$F$2:$F$100,"&lt;="&amp;EOMONTH(R$2,0))</f>
        <v>0</v>
      </c>
      <c r="S17" s="273">
        <f>SUMIFS(BOOTHS!$G$2:$G$100,BOOTHS!$A$2:$A$100,$M17,BOOTHS!$F$2:$F$100,"&gt;="&amp;S$2,BOOTHS!$F$2:$F$100,"&lt;="&amp;EOMONTH(S$2,0))
+SUMIFS('SOCIAL MEDIA'!$G$2:$G$100,'SOCIAL MEDIA'!$A$2:$A$100,$M17,'SOCIAL MEDIA'!$F$2:$F$100,"&gt;="&amp;S$2,'SOCIAL MEDIA'!$F$2:$F$100,"&lt;="&amp;EOMONTH(S$2,0))
+SUMIFS('INTERNET JOB'!$G$2:$G$100,'INTERNET JOB'!$A$2:$A$100,$M17,'INTERNET JOB'!$F$2:$F$100,"&gt;="&amp;S$2,'INTERNET JOB'!$F$2:$F$100,"&lt;="&amp;EOMONTH(S$2,0))</f>
        <v>0</v>
      </c>
      <c r="T17" s="273">
        <f>SUMIFS(BOOTHS!$G$2:$G$100,BOOTHS!$A$2:$A$100,$M17,BOOTHS!$F$2:$F$100,"&gt;="&amp;T$2,BOOTHS!$F$2:$F$100,"&lt;="&amp;EOMONTH(T$2,0))
+SUMIFS('SOCIAL MEDIA'!$G$2:$G$100,'SOCIAL MEDIA'!$A$2:$A$100,$M17,'SOCIAL MEDIA'!$F$2:$F$100,"&gt;="&amp;T$2,'SOCIAL MEDIA'!$F$2:$F$100,"&lt;="&amp;EOMONTH(T$2,0))
+SUMIFS('INTERNET JOB'!$G$2:$G$100,'INTERNET JOB'!$A$2:$A$100,$M17,'INTERNET JOB'!$F$2:$F$100,"&gt;="&amp;T$2,'INTERNET JOB'!$F$2:$F$100,"&lt;="&amp;EOMONTH(T$2,0))</f>
        <v>0</v>
      </c>
      <c r="U17" s="273">
        <f>SUMIFS(BOOTHS!$G$2:$G$100,BOOTHS!$A$2:$A$100,$M17,BOOTHS!$F$2:$F$100,"&gt;="&amp;U$2,BOOTHS!$F$2:$F$100,"&lt;="&amp;EOMONTH(U$2,0))
+SUMIFS('SOCIAL MEDIA'!$G$2:$G$100,'SOCIAL MEDIA'!$A$2:$A$100,$M17,'SOCIAL MEDIA'!$F$2:$F$100,"&gt;="&amp;U$2,'SOCIAL MEDIA'!$F$2:$F$100,"&lt;="&amp;EOMONTH(U$2,0))
+SUMIFS('INTERNET JOB'!$G$2:$G$100,'INTERNET JOB'!$A$2:$A$100,$M17,'INTERNET JOB'!$F$2:$F$100,"&gt;="&amp;U$2,'INTERNET JOB'!$F$2:$F$100,"&lt;="&amp;EOMONTH(U$2,0))</f>
        <v>0</v>
      </c>
      <c r="V17" s="273">
        <f>SUMIFS(BOOTHS!$G$2:$G$100,BOOTHS!$A$2:$A$100,$M17,BOOTHS!$F$2:$F$100,"&gt;="&amp;V$2,BOOTHS!$F$2:$F$100,"&lt;="&amp;EOMONTH(V$2,0))
+SUMIFS('SOCIAL MEDIA'!$G$2:$G$100,'SOCIAL MEDIA'!$A$2:$A$100,$M17,'SOCIAL MEDIA'!$F$2:$F$100,"&gt;="&amp;V$2,'SOCIAL MEDIA'!$F$2:$F$100,"&lt;="&amp;EOMONTH(V$2,0))
+SUMIFS('INTERNET JOB'!$G$2:$G$100,'INTERNET JOB'!$A$2:$A$100,$M17,'INTERNET JOB'!$F$2:$F$100,"&gt;="&amp;V$2,'INTERNET JOB'!$F$2:$F$100,"&lt;="&amp;EOMONTH(V$2,0))</f>
        <v>0</v>
      </c>
      <c r="W17" s="273">
        <f>SUMIFS(BOOTHS!$G$2:$G$100,BOOTHS!$A$2:$A$100,$M17,BOOTHS!$F$2:$F$100,"&gt;="&amp;W$2,BOOTHS!$F$2:$F$100,"&lt;="&amp;EOMONTH(W$2,0))
+SUMIFS('SOCIAL MEDIA'!$G$2:$G$100,'SOCIAL MEDIA'!$A$2:$A$100,$M17,'SOCIAL MEDIA'!$F$2:$F$100,"&gt;="&amp;W$2,'SOCIAL MEDIA'!$F$2:$F$100,"&lt;="&amp;EOMONTH(W$2,0))
+SUMIFS('INTERNET JOB'!$G$2:$G$100,'INTERNET JOB'!$A$2:$A$100,$M17,'INTERNET JOB'!$F$2:$F$100,"&gt;="&amp;W$2,'INTERNET JOB'!$F$2:$F$100,"&lt;="&amp;EOMONTH(W$2,0))</f>
        <v>0</v>
      </c>
      <c r="X17" s="273">
        <f>SUMIFS(BOOTHS!$G$2:$G$100,BOOTHS!$A$2:$A$100,$M17,BOOTHS!$F$2:$F$100,"&gt;="&amp;X$2,BOOTHS!$F$2:$F$100,"&lt;="&amp;EOMONTH(X$2,0))
+SUMIFS('SOCIAL MEDIA'!$G$2:$G$100,'SOCIAL MEDIA'!$A$2:$A$100,$M17,'SOCIAL MEDIA'!$F$2:$F$100,"&gt;="&amp;X$2,'SOCIAL MEDIA'!$F$2:$F$100,"&lt;="&amp;EOMONTH(X$2,0))
+SUMIFS('INTERNET JOB'!$G$2:$G$100,'INTERNET JOB'!$A$2:$A$100,$M17,'INTERNET JOB'!$F$2:$F$100,"&gt;="&amp;X$2,'INTERNET JOB'!$F$2:$F$100,"&lt;="&amp;EOMONTH(X$2,0))</f>
        <v>0</v>
      </c>
      <c r="Y17" s="274">
        <f>SUMIFS(BOOTHS!$G$2:$G$100,BOOTHS!$A$2:$A$100,$M17,BOOTHS!$F$2:$F$100,"&gt;="&amp;Y$2,BOOTHS!$F$2:$F$100,"&lt;="&amp;EOMONTH(Y$2,0))
+SUMIFS('SOCIAL MEDIA'!$G$2:$G$100,'SOCIAL MEDIA'!$A$2:$A$100,$M17,'SOCIAL MEDIA'!$F$2:$F$100,"&gt;="&amp;Y$2,'SOCIAL MEDIA'!$F$2:$F$100,"&lt;="&amp;EOMONTH(Y$2,0))
+SUMIFS('INTERNET JOB'!$G$2:$G$100,'INTERNET JOB'!$A$2:$A$100,$M17,'INTERNET JOB'!$F$2:$F$100,"&gt;="&amp;Y$2,'INTERNET JOB'!$F$2:$F$100,"&lt;="&amp;EOMONTH(Y$2,0))</f>
        <v>0</v>
      </c>
      <c r="Z17" s="267">
        <f t="shared" si="1"/>
        <v>0</v>
      </c>
    </row>
    <row r="18" spans="1:26" ht="15.75" thickBot="1" x14ac:dyDescent="0.3">
      <c r="A18" s="335" t="s">
        <v>167</v>
      </c>
      <c r="B18" s="336" t="s">
        <v>249</v>
      </c>
      <c r="C18" s="337">
        <f>SUMIF(BOOTHS!$A$2:$A$100,B18,BOOTHS!$G$2:$G$100)</f>
        <v>0</v>
      </c>
      <c r="D18" s="338">
        <f>SUMIF(BOOTHS!$A$2:$A$100,$B18,BOOTHS!$J$2:$J$100)</f>
        <v>0</v>
      </c>
      <c r="E18" s="389"/>
      <c r="F18" s="11"/>
      <c r="G18" s="288" t="s">
        <v>127</v>
      </c>
      <c r="H18" s="291" t="s">
        <v>219</v>
      </c>
      <c r="I18" s="292" t="s">
        <v>224</v>
      </c>
      <c r="J18" s="291" t="s">
        <v>231</v>
      </c>
      <c r="K18" s="292" t="s">
        <v>237</v>
      </c>
      <c r="L18" s="260"/>
      <c r="M18" s="275" t="str">
        <f t="shared" si="2"/>
        <v>FADAW</v>
      </c>
      <c r="N18" s="276">
        <f>SUMIFS(BOOTHS!$G$2:$G$100,BOOTHS!$A$2:$A$100,$M18,BOOTHS!$F$2:$F$100,"&gt;="&amp;N$2,BOOTHS!$F$2:$F$100,"&lt;="&amp;EOMONTH(N$2,0))
+SUMIFS('SOCIAL MEDIA'!$G$2:$G$100,'SOCIAL MEDIA'!$A$2:$A$100,$M18,'SOCIAL MEDIA'!$F$2:$F$100,"&gt;="&amp;N$2,'SOCIAL MEDIA'!$F$2:$F$100,"&lt;="&amp;EOMONTH(N$2,0))
+SUMIFS('INTERNET JOB'!$G$2:$G$100,'INTERNET JOB'!$A$2:$A$100,$M18,'INTERNET JOB'!$F$2:$F$100,"&gt;="&amp;N$2,'INTERNET JOB'!$F$2:$F$100,"&lt;="&amp;EOMONTH(N$2,0))</f>
        <v>0</v>
      </c>
      <c r="O18" s="276">
        <f>SUMIFS(BOOTHS!$G$2:$G$100,BOOTHS!$A$2:$A$100,$M18,BOOTHS!$F$2:$F$100,"&gt;="&amp;O$2,BOOTHS!$F$2:$F$100,"&lt;="&amp;EOMONTH(O$2,0))
+SUMIFS('SOCIAL MEDIA'!$G$2:$G$100,'SOCIAL MEDIA'!$A$2:$A$100,$M18,'SOCIAL MEDIA'!$F$2:$F$100,"&gt;="&amp;O$2,'SOCIAL MEDIA'!$F$2:$F$100,"&lt;="&amp;EOMONTH(O$2,0))
+SUMIFS('INTERNET JOB'!$G$2:$G$100,'INTERNET JOB'!$A$2:$A$100,$M18,'INTERNET JOB'!$F$2:$F$100,"&gt;="&amp;O$2,'INTERNET JOB'!$F$2:$F$100,"&lt;="&amp;EOMONTH(O$2,0))</f>
        <v>0</v>
      </c>
      <c r="P18" s="276">
        <f>SUMIFS(BOOTHS!$G$2:$G$100,BOOTHS!$A$2:$A$100,$M18,BOOTHS!$F$2:$F$100,"&gt;="&amp;P$2,BOOTHS!$F$2:$F$100,"&lt;="&amp;EOMONTH(P$2,0))
+SUMIFS('SOCIAL MEDIA'!$G$2:$G$100,'SOCIAL MEDIA'!$A$2:$A$100,$M18,'SOCIAL MEDIA'!$F$2:$F$100,"&gt;="&amp;P$2,'SOCIAL MEDIA'!$F$2:$F$100,"&lt;="&amp;EOMONTH(P$2,0))
+SUMIFS('INTERNET JOB'!$G$2:$G$100,'INTERNET JOB'!$A$2:$A$100,$M18,'INTERNET JOB'!$F$2:$F$100,"&gt;="&amp;P$2,'INTERNET JOB'!$F$2:$F$100,"&lt;="&amp;EOMONTH(P$2,0))</f>
        <v>0</v>
      </c>
      <c r="Q18" s="276">
        <f>SUMIFS(BOOTHS!$G$2:$G$100,BOOTHS!$A$2:$A$100,$M18,BOOTHS!$F$2:$F$100,"&gt;="&amp;Q$2,BOOTHS!$F$2:$F$100,"&lt;="&amp;EOMONTH(Q$2,0))
+SUMIFS('SOCIAL MEDIA'!$G$2:$G$100,'SOCIAL MEDIA'!$A$2:$A$100,$M18,'SOCIAL MEDIA'!$F$2:$F$100,"&gt;="&amp;Q$2,'SOCIAL MEDIA'!$F$2:$F$100,"&lt;="&amp;EOMONTH(Q$2,0))
+SUMIFS('INTERNET JOB'!$G$2:$G$100,'INTERNET JOB'!$A$2:$A$100,$M18,'INTERNET JOB'!$F$2:$F$100,"&gt;="&amp;Q$2,'INTERNET JOB'!$F$2:$F$100,"&lt;="&amp;EOMONTH(Q$2,0))</f>
        <v>0</v>
      </c>
      <c r="R18" s="276">
        <f>SUMIFS(BOOTHS!$G$2:$G$100,BOOTHS!$A$2:$A$100,$M18,BOOTHS!$F$2:$F$100,"&gt;="&amp;R$2,BOOTHS!$F$2:$F$100,"&lt;="&amp;EOMONTH(R$2,0))
+SUMIFS('SOCIAL MEDIA'!$G$2:$G$100,'SOCIAL MEDIA'!$A$2:$A$100,$M18,'SOCIAL MEDIA'!$F$2:$F$100,"&gt;="&amp;R$2,'SOCIAL MEDIA'!$F$2:$F$100,"&lt;="&amp;EOMONTH(R$2,0))
+SUMIFS('INTERNET JOB'!$G$2:$G$100,'INTERNET JOB'!$A$2:$A$100,$M18,'INTERNET JOB'!$F$2:$F$100,"&gt;="&amp;R$2,'INTERNET JOB'!$F$2:$F$100,"&lt;="&amp;EOMONTH(R$2,0))</f>
        <v>0</v>
      </c>
      <c r="S18" s="276">
        <f>SUMIFS(BOOTHS!$G$2:$G$100,BOOTHS!$A$2:$A$100,$M18,BOOTHS!$F$2:$F$100,"&gt;="&amp;S$2,BOOTHS!$F$2:$F$100,"&lt;="&amp;EOMONTH(S$2,0))
+SUMIFS('SOCIAL MEDIA'!$G$2:$G$100,'SOCIAL MEDIA'!$A$2:$A$100,$M18,'SOCIAL MEDIA'!$F$2:$F$100,"&gt;="&amp;S$2,'SOCIAL MEDIA'!$F$2:$F$100,"&lt;="&amp;EOMONTH(S$2,0))
+SUMIFS('INTERNET JOB'!$G$2:$G$100,'INTERNET JOB'!$A$2:$A$100,$M18,'INTERNET JOB'!$F$2:$F$100,"&gt;="&amp;S$2,'INTERNET JOB'!$F$2:$F$100,"&lt;="&amp;EOMONTH(S$2,0))</f>
        <v>0</v>
      </c>
      <c r="T18" s="276">
        <f>SUMIFS(BOOTHS!$G$2:$G$100,BOOTHS!$A$2:$A$100,$M18,BOOTHS!$F$2:$F$100,"&gt;="&amp;T$2,BOOTHS!$F$2:$F$100,"&lt;="&amp;EOMONTH(T$2,0))
+SUMIFS('SOCIAL MEDIA'!$G$2:$G$100,'SOCIAL MEDIA'!$A$2:$A$100,$M18,'SOCIAL MEDIA'!$F$2:$F$100,"&gt;="&amp;T$2,'SOCIAL MEDIA'!$F$2:$F$100,"&lt;="&amp;EOMONTH(T$2,0))
+SUMIFS('INTERNET JOB'!$G$2:$G$100,'INTERNET JOB'!$A$2:$A$100,$M18,'INTERNET JOB'!$F$2:$F$100,"&gt;="&amp;T$2,'INTERNET JOB'!$F$2:$F$100,"&lt;="&amp;EOMONTH(T$2,0))</f>
        <v>0</v>
      </c>
      <c r="U18" s="276">
        <f>SUMIFS(BOOTHS!$G$2:$G$100,BOOTHS!$A$2:$A$100,$M18,BOOTHS!$F$2:$F$100,"&gt;="&amp;U$2,BOOTHS!$F$2:$F$100,"&lt;="&amp;EOMONTH(U$2,0))
+SUMIFS('SOCIAL MEDIA'!$G$2:$G$100,'SOCIAL MEDIA'!$A$2:$A$100,$M18,'SOCIAL MEDIA'!$F$2:$F$100,"&gt;="&amp;U$2,'SOCIAL MEDIA'!$F$2:$F$100,"&lt;="&amp;EOMONTH(U$2,0))
+SUMIFS('INTERNET JOB'!$G$2:$G$100,'INTERNET JOB'!$A$2:$A$100,$M18,'INTERNET JOB'!$F$2:$F$100,"&gt;="&amp;U$2,'INTERNET JOB'!$F$2:$F$100,"&lt;="&amp;EOMONTH(U$2,0))</f>
        <v>0</v>
      </c>
      <c r="V18" s="276">
        <f>SUMIFS(BOOTHS!$G$2:$G$100,BOOTHS!$A$2:$A$100,$M18,BOOTHS!$F$2:$F$100,"&gt;="&amp;V$2,BOOTHS!$F$2:$F$100,"&lt;="&amp;EOMONTH(V$2,0))
+SUMIFS('SOCIAL MEDIA'!$G$2:$G$100,'SOCIAL MEDIA'!$A$2:$A$100,$M18,'SOCIAL MEDIA'!$F$2:$F$100,"&gt;="&amp;V$2,'SOCIAL MEDIA'!$F$2:$F$100,"&lt;="&amp;EOMONTH(V$2,0))
+SUMIFS('INTERNET JOB'!$G$2:$G$100,'INTERNET JOB'!$A$2:$A$100,$M18,'INTERNET JOB'!$F$2:$F$100,"&gt;="&amp;V$2,'INTERNET JOB'!$F$2:$F$100,"&lt;="&amp;EOMONTH(V$2,0))</f>
        <v>0</v>
      </c>
      <c r="W18" s="276">
        <f>SUMIFS(BOOTHS!$G$2:$G$100,BOOTHS!$A$2:$A$100,$M18,BOOTHS!$F$2:$F$100,"&gt;="&amp;W$2,BOOTHS!$F$2:$F$100,"&lt;="&amp;EOMONTH(W$2,0))
+SUMIFS('SOCIAL MEDIA'!$G$2:$G$100,'SOCIAL MEDIA'!$A$2:$A$100,$M18,'SOCIAL MEDIA'!$F$2:$F$100,"&gt;="&amp;W$2,'SOCIAL MEDIA'!$F$2:$F$100,"&lt;="&amp;EOMONTH(W$2,0))
+SUMIFS('INTERNET JOB'!$G$2:$G$100,'INTERNET JOB'!$A$2:$A$100,$M18,'INTERNET JOB'!$F$2:$F$100,"&gt;="&amp;W$2,'INTERNET JOB'!$F$2:$F$100,"&lt;="&amp;EOMONTH(W$2,0))</f>
        <v>0</v>
      </c>
      <c r="X18" s="276">
        <f>SUMIFS(BOOTHS!$G$2:$G$100,BOOTHS!$A$2:$A$100,$M18,BOOTHS!$F$2:$F$100,"&gt;="&amp;X$2,BOOTHS!$F$2:$F$100,"&lt;="&amp;EOMONTH(X$2,0))
+SUMIFS('SOCIAL MEDIA'!$G$2:$G$100,'SOCIAL MEDIA'!$A$2:$A$100,$M18,'SOCIAL MEDIA'!$F$2:$F$100,"&gt;="&amp;X$2,'SOCIAL MEDIA'!$F$2:$F$100,"&lt;="&amp;EOMONTH(X$2,0))
+SUMIFS('INTERNET JOB'!$G$2:$G$100,'INTERNET JOB'!$A$2:$A$100,$M18,'INTERNET JOB'!$F$2:$F$100,"&gt;="&amp;X$2,'INTERNET JOB'!$F$2:$F$100,"&lt;="&amp;EOMONTH(X$2,0))</f>
        <v>0</v>
      </c>
      <c r="Y18" s="277">
        <f>SUMIFS(BOOTHS!$G$2:$G$100,BOOTHS!$A$2:$A$100,$M18,BOOTHS!$F$2:$F$100,"&gt;="&amp;Y$2,BOOTHS!$F$2:$F$100,"&lt;="&amp;EOMONTH(Y$2,0))
+SUMIFS('SOCIAL MEDIA'!$G$2:$G$100,'SOCIAL MEDIA'!$A$2:$A$100,$M18,'SOCIAL MEDIA'!$F$2:$F$100,"&gt;="&amp;Y$2,'SOCIAL MEDIA'!$F$2:$F$100,"&lt;="&amp;EOMONTH(Y$2,0))
+SUMIFS('INTERNET JOB'!$G$2:$G$100,'INTERNET JOB'!$A$2:$A$100,$M18,'INTERNET JOB'!$F$2:$F$100,"&gt;="&amp;Y$2,'INTERNET JOB'!$F$2:$F$100,"&lt;="&amp;EOMONTH(Y$2,0))</f>
        <v>0</v>
      </c>
      <c r="Z18" s="278">
        <f t="shared" si="1"/>
        <v>0</v>
      </c>
    </row>
    <row r="19" spans="1:26" ht="15.75" thickBot="1" x14ac:dyDescent="0.3">
      <c r="A19" s="335" t="s">
        <v>168</v>
      </c>
      <c r="B19" s="336" t="s">
        <v>234</v>
      </c>
      <c r="C19" s="337">
        <f>SUMIF(BOOTHS!$A$2:$A$100,B19,BOOTHS!$G$2:$G$100)</f>
        <v>0</v>
      </c>
      <c r="D19" s="338">
        <f>SUMIF(BOOTHS!$A$2:$A$100,$B19,BOOTHS!$J$2:$J$100)</f>
        <v>0</v>
      </c>
      <c r="E19" s="389"/>
      <c r="F19" s="11"/>
      <c r="G19" s="288" t="s">
        <v>279</v>
      </c>
      <c r="H19" s="291" t="s">
        <v>221</v>
      </c>
      <c r="I19" s="292" t="s">
        <v>225</v>
      </c>
      <c r="J19" s="291" t="s">
        <v>235</v>
      </c>
      <c r="K19" s="292" t="s">
        <v>238</v>
      </c>
      <c r="L19" s="260"/>
      <c r="M19" s="279" t="s">
        <v>6</v>
      </c>
      <c r="N19" s="280">
        <f>SUM(N3:N18)</f>
        <v>0</v>
      </c>
      <c r="O19" s="280">
        <f t="shared" ref="O19:Y19" si="3">SUM(O3:O18)</f>
        <v>0</v>
      </c>
      <c r="P19" s="280">
        <f t="shared" si="3"/>
        <v>0</v>
      </c>
      <c r="Q19" s="280">
        <f t="shared" si="3"/>
        <v>0</v>
      </c>
      <c r="R19" s="280">
        <f t="shared" si="3"/>
        <v>0</v>
      </c>
      <c r="S19" s="280">
        <f t="shared" si="3"/>
        <v>0</v>
      </c>
      <c r="T19" s="280">
        <f t="shared" si="3"/>
        <v>0</v>
      </c>
      <c r="U19" s="280">
        <f t="shared" si="3"/>
        <v>0</v>
      </c>
      <c r="V19" s="280">
        <f t="shared" si="3"/>
        <v>0</v>
      </c>
      <c r="W19" s="280">
        <f t="shared" si="3"/>
        <v>0</v>
      </c>
      <c r="X19" s="280">
        <f t="shared" si="3"/>
        <v>0</v>
      </c>
      <c r="Y19" s="281">
        <f t="shared" si="3"/>
        <v>0</v>
      </c>
      <c r="Z19" s="282">
        <f>SUM(N19:Y19)</f>
        <v>0</v>
      </c>
    </row>
    <row r="20" spans="1:26" x14ac:dyDescent="0.25">
      <c r="A20" s="335" t="s">
        <v>169</v>
      </c>
      <c r="B20" s="336" t="s">
        <v>232</v>
      </c>
      <c r="C20" s="337">
        <f>SUMIF(BOOTHS!$A$2:$A$100,B20,BOOTHS!$G$2:$G$100)</f>
        <v>0</v>
      </c>
      <c r="D20" s="338">
        <f>SUMIF(BOOTHS!$A$2:$A$100,$B20,BOOTHS!$J$2:$J$100)</f>
        <v>0</v>
      </c>
      <c r="E20" s="389"/>
      <c r="F20" s="11"/>
      <c r="G20" s="288" t="s">
        <v>280</v>
      </c>
      <c r="H20" s="291" t="s">
        <v>221</v>
      </c>
      <c r="I20" s="292" t="s">
        <v>225</v>
      </c>
      <c r="J20" s="291" t="s">
        <v>235</v>
      </c>
      <c r="K20" s="292" t="s">
        <v>238</v>
      </c>
      <c r="L20" s="260"/>
      <c r="M20" s="626" t="s">
        <v>262</v>
      </c>
      <c r="N20" s="627"/>
      <c r="O20" s="627"/>
      <c r="P20" s="627"/>
      <c r="Q20" s="627"/>
      <c r="R20" s="627"/>
      <c r="S20" s="627"/>
      <c r="T20" s="627"/>
      <c r="U20" s="628"/>
      <c r="V20" s="635" t="s">
        <v>258</v>
      </c>
      <c r="W20" s="636"/>
      <c r="X20" s="636"/>
      <c r="Y20" s="636"/>
      <c r="Z20" s="283">
        <f>'BUDGET OVERVIEW'!E7</f>
        <v>0</v>
      </c>
    </row>
    <row r="21" spans="1:26" x14ac:dyDescent="0.25">
      <c r="A21" s="335" t="s">
        <v>170</v>
      </c>
      <c r="B21" s="336" t="s">
        <v>231</v>
      </c>
      <c r="C21" s="337">
        <f>SUMIF(BOOTHS!$A$2:$A$100,B21,BOOTHS!$G$2:$G$100)</f>
        <v>0</v>
      </c>
      <c r="D21" s="338">
        <f>SUMIF(BOOTHS!$A$2:$A$100,$B21,BOOTHS!$J$2:$J$100)</f>
        <v>0</v>
      </c>
      <c r="E21" s="389"/>
      <c r="F21" s="11"/>
      <c r="G21" s="288" t="s">
        <v>51</v>
      </c>
      <c r="H21" s="291" t="s">
        <v>221</v>
      </c>
      <c r="I21" s="292" t="s">
        <v>225</v>
      </c>
      <c r="J21" s="291" t="s">
        <v>235</v>
      </c>
      <c r="K21" s="292" t="s">
        <v>238</v>
      </c>
      <c r="L21" s="260"/>
      <c r="M21" s="629"/>
      <c r="N21" s="630"/>
      <c r="O21" s="630"/>
      <c r="P21" s="630"/>
      <c r="Q21" s="630"/>
      <c r="R21" s="630"/>
      <c r="S21" s="630"/>
      <c r="T21" s="630"/>
      <c r="U21" s="631"/>
      <c r="V21" s="637" t="s">
        <v>259</v>
      </c>
      <c r="W21" s="638"/>
      <c r="X21" s="638"/>
      <c r="Y21" s="638"/>
      <c r="Z21" s="284">
        <f>'BUDGET OVERVIEW'!E24</f>
        <v>0</v>
      </c>
    </row>
    <row r="22" spans="1:26" ht="15.75" thickBot="1" x14ac:dyDescent="0.3">
      <c r="A22" s="335" t="s">
        <v>303</v>
      </c>
      <c r="B22" s="336" t="s">
        <v>250</v>
      </c>
      <c r="C22" s="337">
        <f>SUMIF(BOOTHS!$A$2:$A$100,B22,BOOTHS!$G$2:$G$100)</f>
        <v>0</v>
      </c>
      <c r="D22" s="338">
        <f>SUMIF(BOOTHS!$A$2:$A$100,$B22,BOOTHS!$J$2:$J$100)</f>
        <v>0</v>
      </c>
      <c r="E22" s="389"/>
      <c r="F22" s="11"/>
      <c r="G22" s="288" t="s">
        <v>282</v>
      </c>
      <c r="H22" s="291" t="s">
        <v>221</v>
      </c>
      <c r="I22" s="292" t="s">
        <v>225</v>
      </c>
      <c r="J22" s="291" t="s">
        <v>236</v>
      </c>
      <c r="K22" s="292" t="s">
        <v>229</v>
      </c>
      <c r="L22" s="260"/>
      <c r="M22" s="632"/>
      <c r="N22" s="633"/>
      <c r="O22" s="633"/>
      <c r="P22" s="633"/>
      <c r="Q22" s="633"/>
      <c r="R22" s="633"/>
      <c r="S22" s="633"/>
      <c r="T22" s="633"/>
      <c r="U22" s="634"/>
      <c r="V22" s="623" t="s">
        <v>260</v>
      </c>
      <c r="W22" s="624"/>
      <c r="X22" s="624"/>
      <c r="Y22" s="625"/>
      <c r="Z22" s="285">
        <f>SUM(Z19:Z21)</f>
        <v>0</v>
      </c>
    </row>
    <row r="23" spans="1:26" x14ac:dyDescent="0.25">
      <c r="A23" s="335" t="s">
        <v>171</v>
      </c>
      <c r="B23" s="336" t="s">
        <v>235</v>
      </c>
      <c r="C23" s="337">
        <f>SUMIF(BOOTHS!$A$2:$A$100,B23,BOOTHS!$G$2:$G$100)</f>
        <v>0</v>
      </c>
      <c r="D23" s="338">
        <f>SUMIF(BOOTHS!$A$2:$A$100,$B23,BOOTHS!$J$2:$J$100)</f>
        <v>0</v>
      </c>
      <c r="E23" s="389"/>
      <c r="F23" s="11"/>
      <c r="G23" s="407" t="s">
        <v>233</v>
      </c>
      <c r="H23" s="291" t="s">
        <v>220</v>
      </c>
      <c r="I23" s="292" t="s">
        <v>226</v>
      </c>
      <c r="J23" s="291" t="s">
        <v>234</v>
      </c>
      <c r="K23" s="292" t="s">
        <v>239</v>
      </c>
      <c r="L23" s="260"/>
      <c r="M23" s="260"/>
      <c r="N23" s="246"/>
    </row>
    <row r="24" spans="1:26" ht="15.75" thickBot="1" x14ac:dyDescent="0.3">
      <c r="A24" s="339" t="s">
        <v>172</v>
      </c>
      <c r="B24" s="340" t="s">
        <v>236</v>
      </c>
      <c r="C24" s="341">
        <f>SUMIF(BOOTHS!$A$2:$A$100,B24,BOOTHS!$G$2:$G$100)</f>
        <v>0</v>
      </c>
      <c r="D24" s="342">
        <f>SUMIF(BOOTHS!$A$2:$A$100,$B24,BOOTHS!$J$2:$J$100)</f>
        <v>0</v>
      </c>
      <c r="E24" s="390"/>
      <c r="F24" s="11"/>
      <c r="G24" s="288" t="s">
        <v>47</v>
      </c>
      <c r="H24" s="291" t="s">
        <v>220</v>
      </c>
      <c r="I24" s="292" t="s">
        <v>226</v>
      </c>
      <c r="J24" s="291" t="s">
        <v>232</v>
      </c>
      <c r="K24" s="292" t="s">
        <v>240</v>
      </c>
      <c r="L24" s="11"/>
      <c r="M24" s="11"/>
    </row>
    <row r="25" spans="1:26" ht="15.75" thickBot="1" x14ac:dyDescent="0.3">
      <c r="A25" s="642" t="s">
        <v>216</v>
      </c>
      <c r="B25" s="643"/>
      <c r="C25" s="343">
        <f t="shared" ref="C25" si="4">SUM(C17:C24)</f>
        <v>0</v>
      </c>
      <c r="D25" s="343">
        <f>SUM(D3:D24)</f>
        <v>0</v>
      </c>
      <c r="E25" s="343">
        <f>SUM(E3:E24)</f>
        <v>0</v>
      </c>
      <c r="F25" s="11"/>
      <c r="G25" s="288" t="s">
        <v>48</v>
      </c>
      <c r="H25" s="291" t="s">
        <v>220</v>
      </c>
      <c r="I25" s="292" t="s">
        <v>226</v>
      </c>
      <c r="J25" s="291" t="s">
        <v>232</v>
      </c>
      <c r="K25" s="292" t="s">
        <v>240</v>
      </c>
      <c r="L25" s="11"/>
      <c r="M25" s="11"/>
    </row>
    <row r="26" spans="1:26" ht="15.75" thickBot="1" x14ac:dyDescent="0.3">
      <c r="A26" s="642" t="s">
        <v>251</v>
      </c>
      <c r="B26" s="643"/>
      <c r="C26" s="343">
        <f>SUM(C9:C14)</f>
        <v>0</v>
      </c>
      <c r="D26" s="343">
        <f>SUM(D9:D14)</f>
        <v>0</v>
      </c>
      <c r="E26" s="343">
        <f>SUM(E9:E14)</f>
        <v>0</v>
      </c>
      <c r="F26" s="11"/>
      <c r="G26" s="288" t="s">
        <v>128</v>
      </c>
      <c r="H26" s="291" t="s">
        <v>220</v>
      </c>
      <c r="I26" s="292" t="s">
        <v>226</v>
      </c>
      <c r="J26" s="291" t="s">
        <v>232</v>
      </c>
      <c r="K26" s="292" t="s">
        <v>240</v>
      </c>
      <c r="L26" s="11"/>
      <c r="M26" s="11"/>
    </row>
    <row r="27" spans="1:26" ht="15.75" thickBot="1" x14ac:dyDescent="0.3">
      <c r="A27" s="642" t="s">
        <v>55</v>
      </c>
      <c r="B27" s="643"/>
      <c r="C27" s="343">
        <f>SUM(C3:C8)</f>
        <v>0</v>
      </c>
      <c r="D27" s="343">
        <f>SUM(D3:D8)</f>
        <v>0</v>
      </c>
      <c r="E27" s="343">
        <f>SUM(E3:E8)</f>
        <v>0</v>
      </c>
      <c r="F27" s="11"/>
      <c r="G27" s="288" t="s">
        <v>273</v>
      </c>
      <c r="H27" s="291" t="s">
        <v>220</v>
      </c>
      <c r="I27" s="292" t="s">
        <v>226</v>
      </c>
      <c r="J27" s="291" t="s">
        <v>232</v>
      </c>
      <c r="K27" s="292" t="s">
        <v>240</v>
      </c>
      <c r="L27" s="11"/>
      <c r="M27" s="11"/>
    </row>
    <row r="28" spans="1:26" ht="15.75" thickBot="1" x14ac:dyDescent="0.3">
      <c r="A28" s="286"/>
      <c r="B28" s="286"/>
      <c r="C28" s="343">
        <f>SUM(C25:C27)</f>
        <v>0</v>
      </c>
      <c r="D28" s="343">
        <f t="shared" ref="D28:E28" si="5">SUM(D25:D27)</f>
        <v>0</v>
      </c>
      <c r="E28" s="343">
        <f t="shared" si="5"/>
        <v>0</v>
      </c>
      <c r="G28" s="288" t="s">
        <v>200</v>
      </c>
      <c r="H28" s="291" t="s">
        <v>244</v>
      </c>
      <c r="I28" s="292" t="s">
        <v>245</v>
      </c>
      <c r="J28" s="291" t="s">
        <v>236</v>
      </c>
      <c r="K28" s="292" t="s">
        <v>229</v>
      </c>
    </row>
    <row r="29" spans="1:26" x14ac:dyDescent="0.25">
      <c r="G29" s="288" t="s">
        <v>290</v>
      </c>
      <c r="H29" s="291" t="s">
        <v>244</v>
      </c>
      <c r="I29" s="292" t="s">
        <v>245</v>
      </c>
      <c r="J29" s="291" t="s">
        <v>236</v>
      </c>
      <c r="K29" s="292" t="s">
        <v>229</v>
      </c>
    </row>
    <row r="30" spans="1:26" x14ac:dyDescent="0.25">
      <c r="G30" s="288" t="s">
        <v>129</v>
      </c>
      <c r="H30" s="291" t="s">
        <v>222</v>
      </c>
      <c r="I30" s="292" t="s">
        <v>227</v>
      </c>
      <c r="J30" s="291" t="s">
        <v>231</v>
      </c>
      <c r="K30" s="292" t="s">
        <v>237</v>
      </c>
    </row>
    <row r="31" spans="1:26" x14ac:dyDescent="0.25">
      <c r="G31" s="288" t="s">
        <v>293</v>
      </c>
      <c r="H31" s="291" t="s">
        <v>222</v>
      </c>
      <c r="I31" s="292" t="s">
        <v>227</v>
      </c>
      <c r="J31" s="291" t="s">
        <v>231</v>
      </c>
      <c r="K31" s="292" t="s">
        <v>237</v>
      </c>
    </row>
    <row r="32" spans="1:26" x14ac:dyDescent="0.25">
      <c r="G32" s="288" t="s">
        <v>289</v>
      </c>
      <c r="H32" s="291" t="s">
        <v>244</v>
      </c>
      <c r="I32" s="292" t="s">
        <v>245</v>
      </c>
      <c r="J32" s="291" t="s">
        <v>236</v>
      </c>
      <c r="K32" s="292" t="s">
        <v>229</v>
      </c>
    </row>
    <row r="33" spans="7:11" x14ac:dyDescent="0.25">
      <c r="G33" s="288" t="s">
        <v>291</v>
      </c>
      <c r="H33" s="291" t="s">
        <v>244</v>
      </c>
      <c r="I33" s="292" t="s">
        <v>245</v>
      </c>
      <c r="J33" s="291" t="s">
        <v>236</v>
      </c>
      <c r="K33" s="292" t="s">
        <v>229</v>
      </c>
    </row>
    <row r="34" spans="7:11" x14ac:dyDescent="0.25">
      <c r="G34" s="288" t="s">
        <v>292</v>
      </c>
      <c r="H34" s="291" t="s">
        <v>244</v>
      </c>
      <c r="I34" s="292" t="s">
        <v>245</v>
      </c>
      <c r="J34" s="291" t="s">
        <v>236</v>
      </c>
      <c r="K34" s="292" t="s">
        <v>229</v>
      </c>
    </row>
    <row r="35" spans="7:11" x14ac:dyDescent="0.25">
      <c r="G35" s="288" t="s">
        <v>130</v>
      </c>
      <c r="H35" s="291" t="s">
        <v>222</v>
      </c>
      <c r="I35" s="292" t="s">
        <v>227</v>
      </c>
      <c r="J35" s="291" t="s">
        <v>231</v>
      </c>
      <c r="K35" s="292" t="s">
        <v>237</v>
      </c>
    </row>
    <row r="36" spans="7:11" x14ac:dyDescent="0.25">
      <c r="G36" s="288" t="s">
        <v>294</v>
      </c>
      <c r="H36" s="291" t="s">
        <v>222</v>
      </c>
      <c r="I36" s="292" t="s">
        <v>227</v>
      </c>
      <c r="J36" s="291" t="s">
        <v>231</v>
      </c>
      <c r="K36" s="292" t="s">
        <v>237</v>
      </c>
    </row>
    <row r="37" spans="7:11" x14ac:dyDescent="0.25">
      <c r="G37" s="288" t="s">
        <v>131</v>
      </c>
      <c r="H37" s="291" t="s">
        <v>222</v>
      </c>
      <c r="I37" s="292" t="s">
        <v>227</v>
      </c>
      <c r="J37" s="291" t="s">
        <v>231</v>
      </c>
      <c r="K37" s="292" t="s">
        <v>237</v>
      </c>
    </row>
    <row r="38" spans="7:11" x14ac:dyDescent="0.25">
      <c r="G38" s="288" t="s">
        <v>295</v>
      </c>
      <c r="H38" s="291" t="s">
        <v>222</v>
      </c>
      <c r="I38" s="292" t="s">
        <v>227</v>
      </c>
      <c r="J38" s="291" t="s">
        <v>231</v>
      </c>
      <c r="K38" s="292" t="s">
        <v>237</v>
      </c>
    </row>
    <row r="39" spans="7:11" x14ac:dyDescent="0.25">
      <c r="G39" s="288" t="s">
        <v>287</v>
      </c>
      <c r="H39" s="291" t="s">
        <v>223</v>
      </c>
      <c r="I39" s="292" t="s">
        <v>228</v>
      </c>
      <c r="J39" s="291" t="s">
        <v>232</v>
      </c>
      <c r="K39" s="292" t="s">
        <v>240</v>
      </c>
    </row>
    <row r="40" spans="7:11" x14ac:dyDescent="0.25">
      <c r="G40" s="288" t="s">
        <v>132</v>
      </c>
      <c r="H40" s="291" t="s">
        <v>222</v>
      </c>
      <c r="I40" s="292" t="s">
        <v>227</v>
      </c>
      <c r="J40" s="291" t="s">
        <v>231</v>
      </c>
      <c r="K40" s="292" t="s">
        <v>237</v>
      </c>
    </row>
    <row r="41" spans="7:11" x14ac:dyDescent="0.25">
      <c r="G41" s="288" t="s">
        <v>296</v>
      </c>
      <c r="H41" s="291" t="s">
        <v>222</v>
      </c>
      <c r="I41" s="292" t="s">
        <v>227</v>
      </c>
      <c r="J41" s="291" t="s">
        <v>231</v>
      </c>
      <c r="K41" s="292" t="s">
        <v>237</v>
      </c>
    </row>
    <row r="42" spans="7:11" x14ac:dyDescent="0.25">
      <c r="G42" s="288" t="s">
        <v>49</v>
      </c>
      <c r="H42" s="291" t="s">
        <v>223</v>
      </c>
      <c r="I42" s="292" t="s">
        <v>228</v>
      </c>
      <c r="J42" s="291" t="s">
        <v>232</v>
      </c>
      <c r="K42" s="292" t="s">
        <v>240</v>
      </c>
    </row>
    <row r="43" spans="7:11" x14ac:dyDescent="0.25">
      <c r="G43" s="288" t="s">
        <v>288</v>
      </c>
      <c r="H43" s="291" t="s">
        <v>223</v>
      </c>
      <c r="I43" s="292" t="s">
        <v>228</v>
      </c>
      <c r="J43" s="291" t="s">
        <v>232</v>
      </c>
      <c r="K43" s="292" t="s">
        <v>240</v>
      </c>
    </row>
    <row r="44" spans="7:11" ht="15.75" thickBot="1" x14ac:dyDescent="0.3">
      <c r="G44" s="391" t="s">
        <v>50</v>
      </c>
      <c r="H44" s="392" t="s">
        <v>220</v>
      </c>
      <c r="I44" s="393" t="s">
        <v>226</v>
      </c>
      <c r="J44" s="392" t="s">
        <v>232</v>
      </c>
      <c r="K44" s="393" t="s">
        <v>240</v>
      </c>
    </row>
  </sheetData>
  <sheetProtection sheet="1"/>
  <sortState xmlns:xlrd2="http://schemas.microsoft.com/office/spreadsheetml/2017/richdata2" ref="G3:K44">
    <sortCondition ref="G3:G44"/>
  </sortState>
  <customSheetViews>
    <customSheetView guid="{DDFF3EBC-2CED-4439-A844-7B6A9C88C75C}" fitToPage="1" topLeftCell="B1">
      <selection activeCell="G17" sqref="G17"/>
      <pageMargins left="0.25" right="0.25" top="0.75" bottom="0.75" header="0.3" footer="0.3"/>
      <printOptions horizontalCentered="1" verticalCentered="1"/>
      <pageSetup fitToHeight="0" orientation="landscape" horizontalDpi="1200" verticalDpi="1200" r:id="rId1"/>
      <headerFooter>
        <oddHeader>&amp;C&amp;"-,Bold"&amp;16&amp;UFY 2019 BUDGET PLANNING</oddHeader>
      </headerFooter>
    </customSheetView>
    <customSheetView guid="{B51176BD-3A7B-4ED1-B67D-463289B65E73}" fitToPage="1" topLeftCell="B1">
      <selection activeCell="G17" sqref="G17"/>
      <pageMargins left="0.25" right="0.25" top="0.75" bottom="0.75" header="0.3" footer="0.3"/>
      <printOptions horizontalCentered="1" verticalCentered="1"/>
      <pageSetup fitToHeight="0" orientation="landscape" horizontalDpi="1200" verticalDpi="1200" r:id="rId2"/>
      <headerFooter>
        <oddHeader>&amp;C&amp;"-,Bold"&amp;16&amp;UFY 2019 BUDGET PLANNING</oddHeader>
      </headerFooter>
    </customSheetView>
  </customSheetViews>
  <mergeCells count="11">
    <mergeCell ref="A27:B27"/>
    <mergeCell ref="C1:D1"/>
    <mergeCell ref="H1:I1"/>
    <mergeCell ref="J1:K1"/>
    <mergeCell ref="A25:B25"/>
    <mergeCell ref="A26:B26"/>
    <mergeCell ref="V22:Y22"/>
    <mergeCell ref="M20:U22"/>
    <mergeCell ref="V20:Y20"/>
    <mergeCell ref="V21:Y21"/>
    <mergeCell ref="M1:Z1"/>
  </mergeCells>
  <conditionalFormatting sqref="N19:Y19">
    <cfRule type="cellIs" dxfId="64" priority="4" operator="equal">
      <formula>0</formula>
    </cfRule>
  </conditionalFormatting>
  <conditionalFormatting sqref="M3:Y8">
    <cfRule type="cellIs" dxfId="63" priority="3" operator="equal">
      <formula>0</formula>
    </cfRule>
  </conditionalFormatting>
  <conditionalFormatting sqref="N9:Y10">
    <cfRule type="cellIs" dxfId="62" priority="2" operator="equal">
      <formula>0</formula>
    </cfRule>
  </conditionalFormatting>
  <conditionalFormatting sqref="N11:Y18">
    <cfRule type="cellIs" dxfId="61" priority="1" operator="equal">
      <formula>0</formula>
    </cfRule>
  </conditionalFormatting>
  <printOptions horizontalCentered="1" verticalCentered="1"/>
  <pageMargins left="0.25" right="0.25" top="0.75" bottom="0.75" header="0.3" footer="0.3"/>
  <pageSetup fitToHeight="0" orientation="landscape" horizontalDpi="1200" verticalDpi="1200" r:id="rId3"/>
  <headerFooter>
    <oddHeader>&amp;C&amp;"-,Bold"&amp;16&amp;UFY 2019 BUDGET PLANNING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K101"/>
  <sheetViews>
    <sheetView workbookViewId="0">
      <selection activeCell="J2" sqref="J2:K2"/>
    </sheetView>
  </sheetViews>
  <sheetFormatPr defaultRowHeight="15" x14ac:dyDescent="0.25"/>
  <cols>
    <col min="1" max="1" width="19.5703125" style="108" bestFit="1" customWidth="1"/>
    <col min="2" max="2" width="13.42578125" style="108" bestFit="1" customWidth="1"/>
    <col min="3" max="3" width="17.140625" style="108" bestFit="1" customWidth="1"/>
    <col min="4" max="6" width="13.5703125" style="108" customWidth="1"/>
    <col min="9" max="9" width="11.7109375" customWidth="1"/>
  </cols>
  <sheetData>
    <row r="1" spans="1:11" x14ac:dyDescent="0.25">
      <c r="A1" s="110" t="s">
        <v>176</v>
      </c>
      <c r="B1" s="110" t="s">
        <v>177</v>
      </c>
      <c r="C1" s="111" t="s">
        <v>175</v>
      </c>
      <c r="D1" s="110" t="s">
        <v>0</v>
      </c>
      <c r="E1" s="110" t="s">
        <v>83</v>
      </c>
      <c r="F1" s="110" t="s">
        <v>189</v>
      </c>
      <c r="H1" s="656" t="s">
        <v>1</v>
      </c>
      <c r="I1" s="657"/>
      <c r="J1" s="652" t="s">
        <v>54</v>
      </c>
      <c r="K1" s="653"/>
    </row>
    <row r="2" spans="1:11" ht="15.75" thickBot="1" x14ac:dyDescent="0.3">
      <c r="A2" s="8"/>
      <c r="B2" s="8"/>
      <c r="C2" s="43"/>
      <c r="D2" s="6"/>
      <c r="E2" s="6"/>
      <c r="F2" s="6"/>
      <c r="H2" s="658">
        <f>'BUDGET OVERVIEW'!B1</f>
        <v>2022</v>
      </c>
      <c r="I2" s="659"/>
      <c r="J2" s="654"/>
      <c r="K2" s="655"/>
    </row>
    <row r="3" spans="1:11" ht="15.75" thickBot="1" x14ac:dyDescent="0.3">
      <c r="A3" s="8"/>
      <c r="B3" s="8"/>
      <c r="C3" s="43"/>
      <c r="D3" s="6"/>
      <c r="E3" s="6"/>
      <c r="F3" s="6"/>
      <c r="H3" s="660" t="s">
        <v>315</v>
      </c>
      <c r="I3" s="661"/>
      <c r="J3" s="660" t="s">
        <v>315</v>
      </c>
      <c r="K3" s="661"/>
    </row>
    <row r="4" spans="1:11" x14ac:dyDescent="0.25">
      <c r="A4" s="8"/>
      <c r="B4" s="8"/>
      <c r="C4" s="43"/>
      <c r="D4" s="6"/>
      <c r="E4" s="6"/>
      <c r="F4" s="6"/>
      <c r="H4" s="650" t="s">
        <v>185</v>
      </c>
      <c r="I4" s="651"/>
      <c r="J4" s="650" t="s">
        <v>186</v>
      </c>
      <c r="K4" s="651"/>
    </row>
    <row r="5" spans="1:11" x14ac:dyDescent="0.25">
      <c r="A5" s="8"/>
      <c r="B5" s="8"/>
      <c r="C5" s="43"/>
      <c r="D5" s="6"/>
      <c r="E5" s="6"/>
      <c r="F5" s="6"/>
      <c r="H5" s="18" t="s">
        <v>2</v>
      </c>
      <c r="I5" s="49">
        <f>SUMIFS($D$2:$D$100,$C$2:$C$100,"&gt;="&amp;H$11,$C$2:$C$100,"&lt;="&amp;EOMONTH(H$11,2))</f>
        <v>0</v>
      </c>
      <c r="J5" s="18" t="s">
        <v>2</v>
      </c>
      <c r="K5" s="49">
        <f>SUMIFS($F$2:$F$100,$E$2:$E$100,"&gt;="&amp;H$11,$E$2:$E$100,"&lt;="&amp;EOMONTH(H$11,2))</f>
        <v>0</v>
      </c>
    </row>
    <row r="6" spans="1:11" x14ac:dyDescent="0.25">
      <c r="A6" s="8"/>
      <c r="B6" s="8"/>
      <c r="C6" s="43"/>
      <c r="D6" s="6"/>
      <c r="E6" s="6"/>
      <c r="F6" s="6"/>
      <c r="H6" s="18" t="s">
        <v>3</v>
      </c>
      <c r="I6" s="49">
        <f>SUMIFS($D$2:$D$100,$C$2:$C$100,"&gt;="&amp;H$14,$C$2:$C$100,"&lt;="&amp;EOMONTH(H$14,2))</f>
        <v>0</v>
      </c>
      <c r="J6" s="18" t="s">
        <v>3</v>
      </c>
      <c r="K6" s="49">
        <f>SUMIFS($F$2:$F$100,$E$2:$E$100,"&gt;="&amp;J$14,$E$2:$E$100,"&lt;="&amp;EOMONTH(J$14,2))</f>
        <v>0</v>
      </c>
    </row>
    <row r="7" spans="1:11" x14ac:dyDescent="0.25">
      <c r="A7" s="8"/>
      <c r="B7" s="8"/>
      <c r="C7" s="43"/>
      <c r="D7" s="6"/>
      <c r="E7" s="6"/>
      <c r="F7" s="6"/>
      <c r="H7" s="18" t="s">
        <v>4</v>
      </c>
      <c r="I7" s="49">
        <f>SUMIFS($D$2:$D$100,$C$2:$C$100,"&gt;="&amp;H$17,$C$2:$C$100,"&lt;="&amp;EOMONTH(H$17,2))</f>
        <v>0</v>
      </c>
      <c r="J7" s="18" t="s">
        <v>4</v>
      </c>
      <c r="K7" s="49">
        <f>SUMIFS($F$2:$F$100,$E$2:$E$100,"&gt;="&amp;J$17,$E$2:$E$100,"&lt;="&amp;EOMONTH(J$17,2))</f>
        <v>0</v>
      </c>
    </row>
    <row r="8" spans="1:11" ht="15.75" thickBot="1" x14ac:dyDescent="0.3">
      <c r="A8" s="8"/>
      <c r="B8" s="8"/>
      <c r="C8" s="43"/>
      <c r="D8" s="6"/>
      <c r="E8" s="6"/>
      <c r="F8" s="6"/>
      <c r="H8" s="25" t="s">
        <v>5</v>
      </c>
      <c r="I8" s="109">
        <f>SUMIFS($D$2:$D$100,$C$2:$C$100,"&gt;="&amp;H$20,$C$2:$C$100,"&lt;="&amp;EOMONTH(H$20,2))</f>
        <v>0</v>
      </c>
      <c r="J8" s="25" t="s">
        <v>5</v>
      </c>
      <c r="K8" s="109">
        <f>SUMIFS($F$2:$F$100,$E$2:$E$100,"&gt;="&amp;J$20,$E$2:$E$100,"&lt;="&amp;EOMONTH(J$20,2))</f>
        <v>0</v>
      </c>
    </row>
    <row r="9" spans="1:11" ht="15.75" thickBot="1" x14ac:dyDescent="0.3">
      <c r="A9" s="8"/>
      <c r="B9" s="8"/>
      <c r="C9" s="43"/>
      <c r="D9" s="6"/>
      <c r="E9" s="6"/>
      <c r="F9" s="6"/>
      <c r="H9" s="27" t="s">
        <v>6</v>
      </c>
      <c r="I9" s="28">
        <f>SUM(I5:I8)</f>
        <v>0</v>
      </c>
      <c r="J9" s="27" t="s">
        <v>6</v>
      </c>
      <c r="K9" s="28">
        <f>SUM(K5:K8)</f>
        <v>0</v>
      </c>
    </row>
    <row r="10" spans="1:11" x14ac:dyDescent="0.25">
      <c r="A10" s="8"/>
      <c r="B10" s="8"/>
      <c r="C10" s="43"/>
      <c r="D10" s="6"/>
      <c r="E10" s="6"/>
      <c r="F10" s="6"/>
      <c r="H10" s="650" t="s">
        <v>187</v>
      </c>
      <c r="I10" s="651"/>
      <c r="J10" s="650" t="s">
        <v>188</v>
      </c>
      <c r="K10" s="651"/>
    </row>
    <row r="11" spans="1:11" x14ac:dyDescent="0.25">
      <c r="A11" s="8"/>
      <c r="B11" s="8"/>
      <c r="C11" s="43"/>
      <c r="D11" s="6"/>
      <c r="E11" s="6"/>
      <c r="F11" s="6"/>
      <c r="H11" s="217">
        <f>DATE(($H$2-1),10,1)</f>
        <v>44470</v>
      </c>
      <c r="I11" s="49">
        <f>SUMIFS($D$2:$D$100,$C$2:$C$100,"&gt;="&amp;H11,$C$2:$C$100,"&lt;="&amp;EOMONTH(H11,0))</f>
        <v>0</v>
      </c>
      <c r="J11" s="18" t="s">
        <v>18</v>
      </c>
      <c r="K11" s="49">
        <f t="shared" ref="K11:K22" si="0">SUMIFS($F$2:$F$100,$E$2:$E$100,"&gt;="&amp;H11,$E$2:$E$100,"&lt;="&amp;EOMONTH(H11,0))</f>
        <v>0</v>
      </c>
    </row>
    <row r="12" spans="1:11" x14ac:dyDescent="0.25">
      <c r="A12" s="8"/>
      <c r="B12" s="8"/>
      <c r="C12" s="43"/>
      <c r="D12" s="6"/>
      <c r="E12" s="6"/>
      <c r="F12" s="6"/>
      <c r="H12" s="217">
        <f>DATE(($H$2-1),11,1)</f>
        <v>44501</v>
      </c>
      <c r="I12" s="49">
        <f t="shared" ref="I12:I22" si="1">SUMIFS($D$2:$D$100,$C$2:$C$100,"&gt;="&amp;H12,$C$2:$C$100,"&lt;="&amp;EOMONTH(H12,0))</f>
        <v>0</v>
      </c>
      <c r="J12" s="18" t="s">
        <v>19</v>
      </c>
      <c r="K12" s="49">
        <f t="shared" si="0"/>
        <v>0</v>
      </c>
    </row>
    <row r="13" spans="1:11" x14ac:dyDescent="0.25">
      <c r="A13" s="8"/>
      <c r="B13" s="8"/>
      <c r="C13" s="43"/>
      <c r="D13" s="6"/>
      <c r="E13" s="6"/>
      <c r="F13" s="6"/>
      <c r="H13" s="217">
        <f>DATE(($H$2-1),12,1)</f>
        <v>44531</v>
      </c>
      <c r="I13" s="49">
        <f t="shared" si="1"/>
        <v>0</v>
      </c>
      <c r="J13" s="18" t="s">
        <v>20</v>
      </c>
      <c r="K13" s="49">
        <f t="shared" si="0"/>
        <v>0</v>
      </c>
    </row>
    <row r="14" spans="1:11" x14ac:dyDescent="0.25">
      <c r="A14" s="8"/>
      <c r="B14" s="8"/>
      <c r="C14" s="43"/>
      <c r="D14" s="6"/>
      <c r="E14" s="6"/>
      <c r="F14" s="6"/>
      <c r="H14" s="217">
        <f>DATE(($H$2),1,1)</f>
        <v>44562</v>
      </c>
      <c r="I14" s="49">
        <f t="shared" si="1"/>
        <v>0</v>
      </c>
      <c r="J14" s="18" t="s">
        <v>9</v>
      </c>
      <c r="K14" s="49">
        <f t="shared" si="0"/>
        <v>0</v>
      </c>
    </row>
    <row r="15" spans="1:11" x14ac:dyDescent="0.25">
      <c r="A15" s="8"/>
      <c r="B15" s="8"/>
      <c r="C15" s="43"/>
      <c r="D15" s="6"/>
      <c r="E15" s="6"/>
      <c r="F15" s="6"/>
      <c r="H15" s="217">
        <f>DATE(($H$2),2,1)</f>
        <v>44593</v>
      </c>
      <c r="I15" s="49">
        <f t="shared" si="1"/>
        <v>0</v>
      </c>
      <c r="J15" s="18" t="s">
        <v>10</v>
      </c>
      <c r="K15" s="49">
        <f t="shared" si="0"/>
        <v>0</v>
      </c>
    </row>
    <row r="16" spans="1:11" x14ac:dyDescent="0.25">
      <c r="A16" s="8"/>
      <c r="B16" s="8"/>
      <c r="C16" s="43"/>
      <c r="D16" s="6"/>
      <c r="E16" s="6"/>
      <c r="F16" s="6"/>
      <c r="H16" s="217">
        <f>DATE(($H$2),3,1)</f>
        <v>44621</v>
      </c>
      <c r="I16" s="49">
        <f t="shared" si="1"/>
        <v>0</v>
      </c>
      <c r="J16" s="18" t="s">
        <v>11</v>
      </c>
      <c r="K16" s="49">
        <f t="shared" si="0"/>
        <v>0</v>
      </c>
    </row>
    <row r="17" spans="1:11" x14ac:dyDescent="0.25">
      <c r="A17" s="8"/>
      <c r="B17" s="8"/>
      <c r="C17" s="43"/>
      <c r="D17" s="6"/>
      <c r="E17" s="6"/>
      <c r="F17" s="6"/>
      <c r="H17" s="217">
        <f>DATE(($H$2),4,1)</f>
        <v>44652</v>
      </c>
      <c r="I17" s="49">
        <f t="shared" si="1"/>
        <v>0</v>
      </c>
      <c r="J17" s="18" t="s">
        <v>12</v>
      </c>
      <c r="K17" s="49">
        <f t="shared" si="0"/>
        <v>0</v>
      </c>
    </row>
    <row r="18" spans="1:11" x14ac:dyDescent="0.25">
      <c r="A18" s="8"/>
      <c r="B18" s="8"/>
      <c r="C18" s="43"/>
      <c r="D18" s="6"/>
      <c r="E18" s="6"/>
      <c r="F18" s="6"/>
      <c r="H18" s="217">
        <f>DATE(($H$2),5,1)</f>
        <v>44682</v>
      </c>
      <c r="I18" s="49">
        <f t="shared" si="1"/>
        <v>0</v>
      </c>
      <c r="J18" s="18" t="s">
        <v>13</v>
      </c>
      <c r="K18" s="49">
        <f t="shared" si="0"/>
        <v>0</v>
      </c>
    </row>
    <row r="19" spans="1:11" x14ac:dyDescent="0.25">
      <c r="A19" s="8"/>
      <c r="B19" s="8"/>
      <c r="C19" s="43"/>
      <c r="D19" s="6"/>
      <c r="E19" s="6"/>
      <c r="F19" s="6"/>
      <c r="H19" s="217">
        <f>DATE(($H$2),6,1)</f>
        <v>44713</v>
      </c>
      <c r="I19" s="49">
        <f t="shared" si="1"/>
        <v>0</v>
      </c>
      <c r="J19" s="18" t="s">
        <v>14</v>
      </c>
      <c r="K19" s="49">
        <f t="shared" si="0"/>
        <v>0</v>
      </c>
    </row>
    <row r="20" spans="1:11" x14ac:dyDescent="0.25">
      <c r="A20" s="8"/>
      <c r="B20" s="8"/>
      <c r="C20" s="43"/>
      <c r="D20" s="6"/>
      <c r="E20" s="6"/>
      <c r="F20" s="6"/>
      <c r="H20" s="217">
        <f>DATE(($H$2),7,1)</f>
        <v>44743</v>
      </c>
      <c r="I20" s="49">
        <f t="shared" si="1"/>
        <v>0</v>
      </c>
      <c r="J20" s="18" t="s">
        <v>15</v>
      </c>
      <c r="K20" s="49">
        <f t="shared" si="0"/>
        <v>0</v>
      </c>
    </row>
    <row r="21" spans="1:11" x14ac:dyDescent="0.25">
      <c r="A21" s="8"/>
      <c r="B21" s="8"/>
      <c r="C21" s="43"/>
      <c r="D21" s="6"/>
      <c r="E21" s="6"/>
      <c r="F21" s="6"/>
      <c r="H21" s="217">
        <f>DATE(($H$2),8,1)</f>
        <v>44774</v>
      </c>
      <c r="I21" s="49">
        <f t="shared" si="1"/>
        <v>0</v>
      </c>
      <c r="J21" s="18" t="s">
        <v>16</v>
      </c>
      <c r="K21" s="49">
        <f t="shared" si="0"/>
        <v>0</v>
      </c>
    </row>
    <row r="22" spans="1:11" ht="15.75" thickBot="1" x14ac:dyDescent="0.3">
      <c r="A22" s="8"/>
      <c r="B22" s="8"/>
      <c r="C22" s="43"/>
      <c r="D22" s="6"/>
      <c r="E22" s="6"/>
      <c r="F22" s="6"/>
      <c r="H22" s="347">
        <f>DATE(($H$2),9,1)</f>
        <v>44805</v>
      </c>
      <c r="I22" s="49">
        <f t="shared" si="1"/>
        <v>0</v>
      </c>
      <c r="J22" s="25" t="s">
        <v>17</v>
      </c>
      <c r="K22" s="49">
        <f t="shared" si="0"/>
        <v>0</v>
      </c>
    </row>
    <row r="23" spans="1:11" ht="15.75" thickBot="1" x14ac:dyDescent="0.3">
      <c r="A23" s="8"/>
      <c r="B23" s="8"/>
      <c r="C23" s="43"/>
      <c r="D23" s="6"/>
      <c r="E23" s="6"/>
      <c r="F23" s="6"/>
      <c r="H23" s="27" t="s">
        <v>6</v>
      </c>
      <c r="I23" s="28">
        <f>SUM(I11:I22)</f>
        <v>0</v>
      </c>
      <c r="J23" s="27" t="s">
        <v>6</v>
      </c>
      <c r="K23" s="28">
        <f>SUM(K11:K22)</f>
        <v>0</v>
      </c>
    </row>
    <row r="24" spans="1:11" x14ac:dyDescent="0.25">
      <c r="A24" s="8"/>
      <c r="B24" s="8"/>
      <c r="C24" s="43"/>
      <c r="D24" s="6"/>
      <c r="E24" s="6"/>
      <c r="F24" s="6"/>
    </row>
    <row r="25" spans="1:11" x14ac:dyDescent="0.25">
      <c r="A25" s="8"/>
      <c r="B25" s="8"/>
      <c r="C25" s="43"/>
      <c r="D25" s="6"/>
      <c r="E25" s="6"/>
      <c r="F25" s="6"/>
    </row>
    <row r="26" spans="1:11" x14ac:dyDescent="0.25">
      <c r="A26" s="8"/>
      <c r="B26" s="8"/>
      <c r="C26" s="43"/>
      <c r="D26" s="6"/>
      <c r="E26" s="6"/>
      <c r="F26" s="6"/>
    </row>
    <row r="27" spans="1:11" x14ac:dyDescent="0.25">
      <c r="A27" s="8"/>
      <c r="B27" s="8"/>
      <c r="C27" s="43"/>
      <c r="D27" s="6"/>
      <c r="E27" s="6"/>
      <c r="F27" s="6"/>
    </row>
    <row r="28" spans="1:11" x14ac:dyDescent="0.25">
      <c r="A28" s="8"/>
      <c r="B28" s="8"/>
      <c r="C28" s="43"/>
      <c r="D28" s="6"/>
      <c r="E28" s="6"/>
      <c r="F28" s="6"/>
    </row>
    <row r="29" spans="1:11" x14ac:dyDescent="0.25">
      <c r="A29" s="8"/>
      <c r="B29" s="8"/>
      <c r="C29" s="43"/>
      <c r="D29" s="6"/>
      <c r="E29" s="6"/>
      <c r="F29" s="6"/>
    </row>
    <row r="30" spans="1:11" x14ac:dyDescent="0.25">
      <c r="A30" s="8"/>
      <c r="B30" s="8"/>
      <c r="C30" s="43"/>
      <c r="D30" s="6"/>
      <c r="E30" s="6"/>
      <c r="F30" s="6"/>
    </row>
    <row r="31" spans="1:11" x14ac:dyDescent="0.25">
      <c r="A31" s="8"/>
      <c r="B31" s="8"/>
      <c r="C31" s="43"/>
      <c r="D31" s="6"/>
      <c r="E31" s="6"/>
      <c r="F31" s="6"/>
    </row>
    <row r="32" spans="1:11" x14ac:dyDescent="0.25">
      <c r="A32" s="8"/>
      <c r="B32" s="8"/>
      <c r="C32" s="43"/>
      <c r="D32" s="6"/>
      <c r="E32" s="6"/>
      <c r="F32" s="6"/>
    </row>
    <row r="33" spans="1:6" x14ac:dyDescent="0.25">
      <c r="A33" s="8"/>
      <c r="B33" s="8"/>
      <c r="C33" s="43"/>
      <c r="D33" s="6"/>
      <c r="E33" s="6"/>
      <c r="F33" s="6"/>
    </row>
    <row r="34" spans="1:6" x14ac:dyDescent="0.25">
      <c r="A34" s="8"/>
      <c r="B34" s="8"/>
      <c r="C34" s="43"/>
      <c r="D34" s="6"/>
      <c r="E34" s="6"/>
      <c r="F34" s="6"/>
    </row>
    <row r="35" spans="1:6" x14ac:dyDescent="0.25">
      <c r="A35" s="8"/>
      <c r="B35" s="8"/>
      <c r="C35" s="43"/>
      <c r="D35" s="6"/>
      <c r="E35" s="6"/>
      <c r="F35" s="6"/>
    </row>
    <row r="36" spans="1:6" x14ac:dyDescent="0.25">
      <c r="A36" s="8"/>
      <c r="B36" s="8"/>
      <c r="C36" s="43"/>
      <c r="D36" s="6"/>
      <c r="E36" s="6"/>
      <c r="F36" s="6"/>
    </row>
    <row r="37" spans="1:6" x14ac:dyDescent="0.25">
      <c r="A37" s="8"/>
      <c r="B37" s="8"/>
      <c r="C37" s="43"/>
      <c r="D37" s="6"/>
      <c r="E37" s="6"/>
      <c r="F37" s="6"/>
    </row>
    <row r="38" spans="1:6" x14ac:dyDescent="0.25">
      <c r="A38" s="8"/>
      <c r="B38" s="8"/>
      <c r="C38" s="43"/>
      <c r="D38" s="6"/>
      <c r="E38" s="6"/>
      <c r="F38" s="6"/>
    </row>
    <row r="39" spans="1:6" x14ac:dyDescent="0.25">
      <c r="A39" s="8"/>
      <c r="B39" s="8"/>
      <c r="C39" s="43"/>
      <c r="D39" s="6"/>
      <c r="E39" s="6"/>
      <c r="F39" s="6"/>
    </row>
    <row r="40" spans="1:6" x14ac:dyDescent="0.25">
      <c r="A40" s="8"/>
      <c r="B40" s="8"/>
      <c r="C40" s="43"/>
      <c r="D40" s="6"/>
      <c r="E40" s="6"/>
      <c r="F40" s="6"/>
    </row>
    <row r="41" spans="1:6" x14ac:dyDescent="0.25">
      <c r="A41" s="8"/>
      <c r="B41" s="8"/>
      <c r="C41" s="43"/>
      <c r="D41" s="6"/>
      <c r="E41" s="6"/>
      <c r="F41" s="6"/>
    </row>
    <row r="42" spans="1:6" x14ac:dyDescent="0.25">
      <c r="A42" s="8"/>
      <c r="B42" s="8"/>
      <c r="C42" s="43"/>
      <c r="D42" s="6"/>
      <c r="E42" s="6"/>
      <c r="F42" s="6"/>
    </row>
    <row r="43" spans="1:6" x14ac:dyDescent="0.25">
      <c r="A43" s="8"/>
      <c r="B43" s="8"/>
      <c r="C43" s="43"/>
      <c r="D43" s="6"/>
      <c r="E43" s="6"/>
      <c r="F43" s="6"/>
    </row>
    <row r="44" spans="1:6" x14ac:dyDescent="0.25">
      <c r="A44" s="8"/>
      <c r="B44" s="8"/>
      <c r="C44" s="43"/>
      <c r="D44" s="6"/>
      <c r="E44" s="6"/>
      <c r="F44" s="6"/>
    </row>
    <row r="45" spans="1:6" x14ac:dyDescent="0.25">
      <c r="A45" s="8"/>
      <c r="B45" s="8"/>
      <c r="C45" s="43"/>
      <c r="D45" s="6"/>
      <c r="E45" s="6"/>
      <c r="F45" s="6"/>
    </row>
    <row r="46" spans="1:6" x14ac:dyDescent="0.25">
      <c r="A46" s="8"/>
      <c r="B46" s="8"/>
      <c r="C46" s="43"/>
      <c r="D46" s="6"/>
      <c r="E46" s="6"/>
      <c r="F46" s="6"/>
    </row>
    <row r="47" spans="1:6" x14ac:dyDescent="0.25">
      <c r="A47" s="8"/>
      <c r="B47" s="8"/>
      <c r="C47" s="43"/>
      <c r="D47" s="6"/>
      <c r="E47" s="6"/>
      <c r="F47" s="6"/>
    </row>
    <row r="48" spans="1:6" x14ac:dyDescent="0.25">
      <c r="A48" s="8"/>
      <c r="B48" s="8"/>
      <c r="C48" s="43"/>
      <c r="D48" s="6"/>
      <c r="E48" s="6"/>
      <c r="F48" s="6"/>
    </row>
    <row r="49" spans="1:6" x14ac:dyDescent="0.25">
      <c r="A49" s="8"/>
      <c r="B49" s="8"/>
      <c r="C49" s="43"/>
      <c r="D49" s="6"/>
      <c r="E49" s="6"/>
      <c r="F49" s="6"/>
    </row>
    <row r="50" spans="1:6" x14ac:dyDescent="0.25">
      <c r="A50" s="8"/>
      <c r="B50" s="8"/>
      <c r="C50" s="43"/>
      <c r="D50" s="6"/>
      <c r="E50" s="6"/>
      <c r="F50" s="6"/>
    </row>
    <row r="51" spans="1:6" x14ac:dyDescent="0.25">
      <c r="A51" s="8"/>
      <c r="B51" s="8"/>
      <c r="C51" s="43"/>
      <c r="D51" s="6"/>
      <c r="E51" s="6"/>
      <c r="F51" s="6"/>
    </row>
    <row r="52" spans="1:6" x14ac:dyDescent="0.25">
      <c r="A52" s="8"/>
      <c r="B52" s="8"/>
      <c r="C52" s="43"/>
      <c r="D52" s="6"/>
      <c r="E52" s="6"/>
      <c r="F52" s="6"/>
    </row>
    <row r="53" spans="1:6" x14ac:dyDescent="0.25">
      <c r="A53" s="8"/>
      <c r="B53" s="8"/>
      <c r="C53" s="43"/>
      <c r="D53" s="6"/>
      <c r="E53" s="6"/>
      <c r="F53" s="6"/>
    </row>
    <row r="54" spans="1:6" x14ac:dyDescent="0.25">
      <c r="A54" s="8"/>
      <c r="B54" s="8"/>
      <c r="C54" s="43"/>
      <c r="D54" s="6"/>
      <c r="E54" s="6"/>
      <c r="F54" s="6"/>
    </row>
    <row r="55" spans="1:6" x14ac:dyDescent="0.25">
      <c r="A55" s="8"/>
      <c r="B55" s="8"/>
      <c r="C55" s="43"/>
      <c r="D55" s="6"/>
      <c r="E55" s="6"/>
      <c r="F55" s="6"/>
    </row>
    <row r="56" spans="1:6" x14ac:dyDescent="0.25">
      <c r="A56" s="8"/>
      <c r="B56" s="8"/>
      <c r="C56" s="43"/>
      <c r="D56" s="6"/>
      <c r="E56" s="6"/>
      <c r="F56" s="6"/>
    </row>
    <row r="57" spans="1:6" x14ac:dyDescent="0.25">
      <c r="A57" s="8"/>
      <c r="B57" s="8"/>
      <c r="C57" s="43"/>
      <c r="D57" s="6"/>
      <c r="E57" s="6"/>
      <c r="F57" s="6"/>
    </row>
    <row r="58" spans="1:6" x14ac:dyDescent="0.25">
      <c r="A58" s="8"/>
      <c r="B58" s="8"/>
      <c r="C58" s="43"/>
      <c r="D58" s="6"/>
      <c r="E58" s="6"/>
      <c r="F58" s="6"/>
    </row>
    <row r="59" spans="1:6" x14ac:dyDescent="0.25">
      <c r="A59" s="8"/>
      <c r="B59" s="8"/>
      <c r="C59" s="43"/>
      <c r="D59" s="6"/>
      <c r="E59" s="6"/>
      <c r="F59" s="6"/>
    </row>
    <row r="60" spans="1:6" x14ac:dyDescent="0.25">
      <c r="A60" s="8"/>
      <c r="B60" s="8"/>
      <c r="C60" s="43"/>
      <c r="D60" s="6"/>
      <c r="E60" s="6"/>
      <c r="F60" s="6"/>
    </row>
    <row r="61" spans="1:6" x14ac:dyDescent="0.25">
      <c r="A61" s="8"/>
      <c r="B61" s="8"/>
      <c r="C61" s="43"/>
      <c r="D61" s="6"/>
      <c r="E61" s="6"/>
      <c r="F61" s="6"/>
    </row>
    <row r="62" spans="1:6" x14ac:dyDescent="0.25">
      <c r="A62" s="8"/>
      <c r="B62" s="8"/>
      <c r="C62" s="43"/>
      <c r="D62" s="6"/>
      <c r="E62" s="6"/>
      <c r="F62" s="6"/>
    </row>
    <row r="63" spans="1:6" x14ac:dyDescent="0.25">
      <c r="A63" s="8"/>
      <c r="B63" s="8"/>
      <c r="C63" s="43"/>
      <c r="D63" s="6"/>
      <c r="E63" s="6"/>
      <c r="F63" s="6"/>
    </row>
    <row r="64" spans="1:6" x14ac:dyDescent="0.25">
      <c r="A64" s="8"/>
      <c r="B64" s="8"/>
      <c r="C64" s="43"/>
      <c r="D64" s="6"/>
      <c r="E64" s="6"/>
      <c r="F64" s="6"/>
    </row>
    <row r="65" spans="1:6" x14ac:dyDescent="0.25">
      <c r="A65" s="8"/>
      <c r="B65" s="8"/>
      <c r="C65" s="43"/>
      <c r="D65" s="6"/>
      <c r="E65" s="6"/>
      <c r="F65" s="6"/>
    </row>
    <row r="66" spans="1:6" x14ac:dyDescent="0.25">
      <c r="A66" s="8"/>
      <c r="B66" s="8"/>
      <c r="C66" s="43"/>
      <c r="D66" s="6"/>
      <c r="E66" s="6"/>
      <c r="F66" s="6"/>
    </row>
    <row r="67" spans="1:6" x14ac:dyDescent="0.25">
      <c r="A67" s="8"/>
      <c r="B67" s="8"/>
      <c r="C67" s="43"/>
      <c r="D67" s="6"/>
      <c r="E67" s="6"/>
      <c r="F67" s="6"/>
    </row>
    <row r="68" spans="1:6" x14ac:dyDescent="0.25">
      <c r="A68" s="8"/>
      <c r="B68" s="8"/>
      <c r="C68" s="43"/>
      <c r="D68" s="6"/>
      <c r="E68" s="6"/>
      <c r="F68" s="6"/>
    </row>
    <row r="69" spans="1:6" x14ac:dyDescent="0.25">
      <c r="A69" s="8"/>
      <c r="B69" s="8"/>
      <c r="C69" s="43"/>
      <c r="D69" s="6"/>
      <c r="E69" s="6"/>
      <c r="F69" s="6"/>
    </row>
    <row r="70" spans="1:6" x14ac:dyDescent="0.25">
      <c r="A70" s="8"/>
      <c r="B70" s="8"/>
      <c r="C70" s="43"/>
      <c r="D70" s="6"/>
      <c r="E70" s="6"/>
      <c r="F70" s="6"/>
    </row>
    <row r="71" spans="1:6" x14ac:dyDescent="0.25">
      <c r="A71" s="8"/>
      <c r="B71" s="8"/>
      <c r="C71" s="43"/>
      <c r="D71" s="6"/>
      <c r="E71" s="6"/>
      <c r="F71" s="6"/>
    </row>
    <row r="72" spans="1:6" x14ac:dyDescent="0.25">
      <c r="A72" s="8"/>
      <c r="B72" s="8"/>
      <c r="C72" s="43"/>
      <c r="D72" s="6"/>
      <c r="E72" s="6"/>
      <c r="F72" s="6"/>
    </row>
    <row r="73" spans="1:6" x14ac:dyDescent="0.25">
      <c r="A73" s="8"/>
      <c r="B73" s="8"/>
      <c r="C73" s="43"/>
      <c r="D73" s="6"/>
      <c r="E73" s="6"/>
      <c r="F73" s="6"/>
    </row>
    <row r="74" spans="1:6" x14ac:dyDescent="0.25">
      <c r="A74" s="8"/>
      <c r="B74" s="8"/>
      <c r="C74" s="43"/>
      <c r="D74" s="6"/>
      <c r="E74" s="6"/>
      <c r="F74" s="6"/>
    </row>
    <row r="75" spans="1:6" x14ac:dyDescent="0.25">
      <c r="A75" s="8"/>
      <c r="B75" s="8"/>
      <c r="C75" s="43"/>
      <c r="D75" s="6"/>
      <c r="E75" s="6"/>
      <c r="F75" s="6"/>
    </row>
    <row r="76" spans="1:6" x14ac:dyDescent="0.25">
      <c r="A76" s="8"/>
      <c r="B76" s="8"/>
      <c r="C76" s="43"/>
      <c r="D76" s="6"/>
      <c r="E76" s="6"/>
      <c r="F76" s="6"/>
    </row>
    <row r="77" spans="1:6" x14ac:dyDescent="0.25">
      <c r="A77" s="8"/>
      <c r="B77" s="8"/>
      <c r="C77" s="43"/>
      <c r="D77" s="6"/>
      <c r="E77" s="6"/>
      <c r="F77" s="6"/>
    </row>
    <row r="78" spans="1:6" x14ac:dyDescent="0.25">
      <c r="A78" s="8"/>
      <c r="B78" s="8"/>
      <c r="C78" s="43"/>
      <c r="D78" s="6"/>
      <c r="E78" s="6"/>
      <c r="F78" s="6"/>
    </row>
    <row r="79" spans="1:6" x14ac:dyDescent="0.25">
      <c r="A79" s="8"/>
      <c r="B79" s="8"/>
      <c r="C79" s="43"/>
      <c r="D79" s="6"/>
      <c r="E79" s="6"/>
      <c r="F79" s="6"/>
    </row>
    <row r="80" spans="1:6" x14ac:dyDescent="0.25">
      <c r="A80" s="8"/>
      <c r="B80" s="8"/>
      <c r="C80" s="43"/>
      <c r="D80" s="6"/>
      <c r="E80" s="6"/>
      <c r="F80" s="6"/>
    </row>
    <row r="81" spans="1:6" x14ac:dyDescent="0.25">
      <c r="A81" s="8"/>
      <c r="B81" s="8"/>
      <c r="C81" s="43"/>
      <c r="D81" s="6"/>
      <c r="E81" s="6"/>
      <c r="F81" s="6"/>
    </row>
    <row r="82" spans="1:6" x14ac:dyDescent="0.25">
      <c r="A82" s="8"/>
      <c r="B82" s="8"/>
      <c r="C82" s="43"/>
      <c r="D82" s="6"/>
      <c r="E82" s="6"/>
      <c r="F82" s="6"/>
    </row>
    <row r="83" spans="1:6" x14ac:dyDescent="0.25">
      <c r="A83" s="8"/>
      <c r="B83" s="8"/>
      <c r="C83" s="43"/>
      <c r="D83" s="6"/>
      <c r="E83" s="6"/>
      <c r="F83" s="6"/>
    </row>
    <row r="84" spans="1:6" x14ac:dyDescent="0.25">
      <c r="A84" s="8"/>
      <c r="B84" s="8"/>
      <c r="C84" s="43"/>
      <c r="D84" s="6"/>
      <c r="E84" s="6"/>
      <c r="F84" s="6"/>
    </row>
    <row r="85" spans="1:6" x14ac:dyDescent="0.25">
      <c r="A85" s="8"/>
      <c r="B85" s="8"/>
      <c r="C85" s="43"/>
      <c r="D85" s="6"/>
      <c r="E85" s="6"/>
      <c r="F85" s="6"/>
    </row>
    <row r="86" spans="1:6" x14ac:dyDescent="0.25">
      <c r="A86" s="8"/>
      <c r="B86" s="8"/>
      <c r="C86" s="43"/>
      <c r="D86" s="6"/>
      <c r="E86" s="6"/>
      <c r="F86" s="6"/>
    </row>
    <row r="87" spans="1:6" x14ac:dyDescent="0.25">
      <c r="A87" s="8"/>
      <c r="B87" s="8"/>
      <c r="C87" s="43"/>
      <c r="D87" s="6"/>
      <c r="E87" s="6"/>
      <c r="F87" s="6"/>
    </row>
    <row r="88" spans="1:6" x14ac:dyDescent="0.25">
      <c r="A88" s="8"/>
      <c r="B88" s="8"/>
      <c r="C88" s="43"/>
      <c r="D88" s="6"/>
      <c r="E88" s="6"/>
      <c r="F88" s="6"/>
    </row>
    <row r="89" spans="1:6" x14ac:dyDescent="0.25">
      <c r="A89" s="8"/>
      <c r="B89" s="8"/>
      <c r="C89" s="43"/>
      <c r="D89" s="6"/>
      <c r="E89" s="6"/>
      <c r="F89" s="6"/>
    </row>
    <row r="90" spans="1:6" x14ac:dyDescent="0.25">
      <c r="A90" s="8"/>
      <c r="B90" s="8"/>
      <c r="C90" s="43"/>
      <c r="D90" s="6"/>
      <c r="E90" s="6"/>
      <c r="F90" s="6"/>
    </row>
    <row r="91" spans="1:6" x14ac:dyDescent="0.25">
      <c r="A91" s="8"/>
      <c r="B91" s="8"/>
      <c r="C91" s="43"/>
      <c r="D91" s="6"/>
      <c r="E91" s="6"/>
      <c r="F91" s="6"/>
    </row>
    <row r="92" spans="1:6" x14ac:dyDescent="0.25">
      <c r="A92" s="8"/>
      <c r="B92" s="8"/>
      <c r="C92" s="43"/>
      <c r="D92" s="6"/>
      <c r="E92" s="6"/>
      <c r="F92" s="6"/>
    </row>
    <row r="93" spans="1:6" x14ac:dyDescent="0.25">
      <c r="A93" s="8"/>
      <c r="B93" s="8"/>
      <c r="C93" s="43"/>
      <c r="D93" s="6"/>
      <c r="E93" s="6"/>
      <c r="F93" s="6"/>
    </row>
    <row r="94" spans="1:6" x14ac:dyDescent="0.25">
      <c r="A94" s="8"/>
      <c r="B94" s="8"/>
      <c r="C94" s="43"/>
      <c r="D94" s="6"/>
      <c r="E94" s="6"/>
      <c r="F94" s="6"/>
    </row>
    <row r="95" spans="1:6" x14ac:dyDescent="0.25">
      <c r="A95" s="8"/>
      <c r="B95" s="8"/>
      <c r="C95" s="43"/>
      <c r="D95" s="6"/>
      <c r="E95" s="6"/>
      <c r="F95" s="6"/>
    </row>
    <row r="96" spans="1:6" x14ac:dyDescent="0.25">
      <c r="A96" s="8"/>
      <c r="B96" s="8"/>
      <c r="C96" s="43"/>
      <c r="D96" s="6"/>
      <c r="E96" s="6"/>
      <c r="F96" s="6"/>
    </row>
    <row r="97" spans="1:6" x14ac:dyDescent="0.25">
      <c r="A97" s="8"/>
      <c r="B97" s="8"/>
      <c r="C97" s="43"/>
      <c r="D97" s="6"/>
      <c r="E97" s="6"/>
      <c r="F97" s="6"/>
    </row>
    <row r="98" spans="1:6" x14ac:dyDescent="0.25">
      <c r="A98" s="8"/>
      <c r="B98" s="8"/>
      <c r="C98" s="43"/>
      <c r="D98" s="6"/>
      <c r="E98" s="6"/>
      <c r="F98" s="6"/>
    </row>
    <row r="99" spans="1:6" x14ac:dyDescent="0.25">
      <c r="A99" s="8"/>
      <c r="B99" s="8"/>
      <c r="C99" s="43"/>
      <c r="D99" s="6"/>
      <c r="E99" s="6"/>
      <c r="F99" s="6"/>
    </row>
    <row r="100" spans="1:6" ht="15.75" thickBot="1" x14ac:dyDescent="0.3">
      <c r="A100" s="8"/>
      <c r="B100" s="8"/>
      <c r="C100" s="43"/>
      <c r="D100" s="10"/>
      <c r="E100" s="10"/>
      <c r="F100" s="10"/>
    </row>
    <row r="101" spans="1:6" ht="15.75" thickBot="1" x14ac:dyDescent="0.3">
      <c r="A101" s="2"/>
      <c r="B101" s="2"/>
      <c r="C101" s="44"/>
      <c r="D101" s="3">
        <f>SUM(D2:D100)</f>
        <v>0</v>
      </c>
      <c r="E101" s="3"/>
      <c r="F101" s="3">
        <f>SUM(F2:F100)</f>
        <v>0</v>
      </c>
    </row>
  </sheetData>
  <sheetProtection sheet="1" selectLockedCells="1" autoFilter="0"/>
  <autoFilter ref="A1:F1" xr:uid="{00000000-0009-0000-0000-000002000000}"/>
  <customSheetViews>
    <customSheetView guid="{DDFF3EBC-2CED-4439-A844-7B6A9C88C75C}" showAutoFilter="1">
      <selection activeCell="H11" sqref="H11"/>
      <pageMargins left="0.7" right="0.7" top="0.75" bottom="0.75" header="0.3" footer="0.3"/>
      <autoFilter ref="A1:F1" xr:uid="{6AA6E477-FE80-411E-92C9-C03AF6C84DF2}"/>
    </customSheetView>
    <customSheetView guid="{B51176BD-3A7B-4ED1-B67D-463289B65E73}" showAutoFilter="1">
      <selection activeCell="H11" sqref="H11"/>
      <pageMargins left="0.7" right="0.7" top="0.75" bottom="0.75" header="0.3" footer="0.3"/>
      <autoFilter ref="A1:F1" xr:uid="{6150E2E7-F80C-4393-9F14-A463B9DB99CE}"/>
    </customSheetView>
  </customSheetViews>
  <mergeCells count="10">
    <mergeCell ref="H10:I10"/>
    <mergeCell ref="J1:K1"/>
    <mergeCell ref="J2:K2"/>
    <mergeCell ref="H1:I1"/>
    <mergeCell ref="H2:I2"/>
    <mergeCell ref="H3:I3"/>
    <mergeCell ref="H4:I4"/>
    <mergeCell ref="J3:K3"/>
    <mergeCell ref="J4:K4"/>
    <mergeCell ref="J10:K10"/>
  </mergeCells>
  <conditionalFormatting sqref="C2:C100">
    <cfRule type="timePeriod" dxfId="60" priority="10" timePeriod="nextMonth">
      <formula>AND(MONTH(C2)=MONTH(EDATE(TODAY(),0+1)),YEAR(C2)=YEAR(EDATE(TODAY(),0+1)))</formula>
    </cfRule>
    <cfRule type="timePeriod" dxfId="59" priority="11" timePeriod="lastMonth">
      <formula>AND(MONTH(C2)=MONTH(EDATE(TODAY(),0-1)),YEAR(C2)=YEAR(EDATE(TODAY(),0-1)))</formula>
    </cfRule>
    <cfRule type="timePeriod" dxfId="58" priority="12" timePeriod="thisMonth">
      <formula>AND(MONTH(C2)=MONTH(TODAY()),YEAR(C2)=YEAR(TODAY()))</formula>
    </cfRule>
  </conditionalFormatting>
  <conditionalFormatting sqref="I9">
    <cfRule type="cellIs" dxfId="57" priority="3" operator="equal">
      <formula>"$E$100"</formula>
    </cfRule>
  </conditionalFormatting>
  <conditionalFormatting sqref="K9">
    <cfRule type="cellIs" dxfId="56" priority="2" operator="equal">
      <formula>"$E$100"</formula>
    </cfRule>
  </conditionalFormatting>
  <conditionalFormatting sqref="J2:K2">
    <cfRule type="containsBlanks" dxfId="55" priority="1">
      <formula>LEN(TRIM(J2))=0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FFFF00"/>
    <pageSetUpPr fitToPage="1"/>
  </sheetPr>
  <dimension ref="A1:AG109"/>
  <sheetViews>
    <sheetView zoomScaleNormal="100" zoomScaleSheetLayoutView="85" workbookViewId="0">
      <pane ySplit="1" topLeftCell="A2" activePane="bottomLeft" state="frozen"/>
      <selection pane="bottomLeft" activeCell="C2" sqref="C2"/>
    </sheetView>
  </sheetViews>
  <sheetFormatPr defaultRowHeight="15" x14ac:dyDescent="0.25"/>
  <cols>
    <col min="1" max="1" width="10.140625" style="55" bestFit="1" customWidth="1"/>
    <col min="2" max="2" width="11.140625" style="55" bestFit="1" customWidth="1"/>
    <col min="3" max="3" width="10.140625" style="55" bestFit="1" customWidth="1"/>
    <col min="4" max="4" width="15.7109375" style="55" bestFit="1" customWidth="1"/>
    <col min="5" max="5" width="48.140625" style="55" bestFit="1" customWidth="1"/>
    <col min="6" max="6" width="19.42578125" style="113" customWidth="1"/>
    <col min="7" max="7" width="19.28515625" style="102" customWidth="1"/>
    <col min="8" max="9" width="18.140625" style="99" customWidth="1"/>
    <col min="10" max="10" width="18" style="102" customWidth="1"/>
    <col min="11" max="11" width="10.140625" style="101" bestFit="1" customWidth="1"/>
    <col min="12" max="12" width="17.7109375" style="55" bestFit="1" customWidth="1"/>
    <col min="13" max="13" width="15" style="55" bestFit="1" customWidth="1"/>
    <col min="14" max="14" width="19.5703125" style="55" bestFit="1" customWidth="1"/>
    <col min="15" max="15" width="10.42578125" style="55" hidden="1" customWidth="1"/>
    <col min="16" max="16" width="7.85546875" style="55" hidden="1" customWidth="1"/>
    <col min="17" max="17" width="8.85546875" style="55" hidden="1" customWidth="1"/>
    <col min="18" max="18" width="27.42578125" style="102" customWidth="1"/>
    <col min="19" max="19" width="26.140625" style="102" customWidth="1"/>
    <col min="20" max="20" width="26.5703125" style="102" customWidth="1"/>
    <col min="21" max="21" width="1.140625" style="11" customWidth="1"/>
    <col min="22" max="22" width="10.140625" style="11" customWidth="1"/>
    <col min="23" max="23" width="13.5703125" style="11" customWidth="1"/>
    <col min="24" max="24" width="1.28515625" style="11" customWidth="1"/>
    <col min="25" max="25" width="9.140625" style="11" customWidth="1"/>
    <col min="26" max="26" width="10.140625" style="11" customWidth="1"/>
    <col min="27" max="27" width="2.140625" style="143" customWidth="1"/>
    <col min="28" max="30" width="13.5703125" style="11" customWidth="1"/>
  </cols>
  <sheetData>
    <row r="1" spans="1:33" x14ac:dyDescent="0.25">
      <c r="A1" s="420" t="s">
        <v>139</v>
      </c>
      <c r="B1" s="420" t="s">
        <v>310</v>
      </c>
      <c r="C1" s="52" t="s">
        <v>20</v>
      </c>
      <c r="D1" s="52" t="s">
        <v>52</v>
      </c>
      <c r="E1" s="52" t="s">
        <v>257</v>
      </c>
      <c r="F1" s="96" t="s">
        <v>84</v>
      </c>
      <c r="G1" s="97" t="s">
        <v>60</v>
      </c>
      <c r="H1" s="96" t="s">
        <v>256</v>
      </c>
      <c r="I1" s="96" t="s">
        <v>83</v>
      </c>
      <c r="J1" s="97" t="s">
        <v>8</v>
      </c>
      <c r="K1" s="98" t="s">
        <v>66</v>
      </c>
      <c r="L1" s="52" t="s">
        <v>65</v>
      </c>
      <c r="M1" s="52" t="s">
        <v>298</v>
      </c>
      <c r="N1" s="52" t="s">
        <v>70</v>
      </c>
      <c r="O1" s="52" t="s">
        <v>67</v>
      </c>
      <c r="P1" s="52" t="s">
        <v>68</v>
      </c>
      <c r="Q1" s="52" t="s">
        <v>69</v>
      </c>
      <c r="R1" s="97" t="str">
        <f>CONCATENATE("FY-",'BUDGET OVERVIEW'!B1-1," ROI Data")</f>
        <v>FY-2021 ROI Data</v>
      </c>
      <c r="S1" s="97" t="str">
        <f>CONCATENATE("FY-",'BUDGET OVERVIEW'!B1-2," ROI Data")</f>
        <v>FY-2020 ROI Data</v>
      </c>
      <c r="T1" s="97" t="str">
        <f>CONCATENATE("FY-",'BUDGET OVERVIEW'!B1-3," ROI Data")</f>
        <v>FY-2019 ROI Data</v>
      </c>
      <c r="V1" s="688" t="s">
        <v>1</v>
      </c>
      <c r="W1" s="688"/>
      <c r="X1" s="12"/>
      <c r="Y1" s="683" t="s">
        <v>37</v>
      </c>
      <c r="Z1" s="683"/>
      <c r="AB1" s="665" t="s">
        <v>24</v>
      </c>
      <c r="AC1" s="666"/>
      <c r="AD1" s="667"/>
    </row>
    <row r="2" spans="1:33" ht="15.75" thickBot="1" x14ac:dyDescent="0.3">
      <c r="A2" s="421" t="str">
        <f>IFERROR(VLOOKUP(D2,'JONS-ADPLANNING'!$G$3:$K$44,4),"")</f>
        <v/>
      </c>
      <c r="B2" s="421" t="str">
        <f>IFERROR(VLOOKUP($D2,HELPER!$A$1:$B$42,2,FALSE),"")</f>
        <v/>
      </c>
      <c r="C2" s="4"/>
      <c r="D2" s="4"/>
      <c r="E2" s="4"/>
      <c r="F2" s="112"/>
      <c r="G2" s="6"/>
      <c r="H2" s="5"/>
      <c r="I2" s="5"/>
      <c r="J2" s="6"/>
      <c r="K2" s="56"/>
      <c r="L2" s="7"/>
      <c r="M2" s="406" t="str">
        <f t="shared" ref="M2:M33" si="0">IF(ISBLANK(BOOTHACC),"",IFERROR(BOOTHACC/K2,0))</f>
        <v/>
      </c>
      <c r="N2" s="53" t="str">
        <f>IF(ISBLANK(K2),"",IF(K2=0,"BAD",IF(M2&gt;=Q2,"BAD",IF(M2&gt;=P2,"OK",IF(M2&lt;=O2,"GOOD")))))</f>
        <v/>
      </c>
      <c r="O2" s="53">
        <f t="shared" ref="O2:O33" si="1">P2-0.01</f>
        <v>-0.01</v>
      </c>
      <c r="P2" s="53">
        <f t="shared" ref="P2:P33" si="2">Q2/2</f>
        <v>0</v>
      </c>
      <c r="Q2" s="53">
        <f t="shared" ref="Q2:Q33" si="3">L2*150%</f>
        <v>0</v>
      </c>
      <c r="R2" s="6"/>
      <c r="S2" s="6"/>
      <c r="T2" s="8"/>
      <c r="V2" s="689">
        <f>'BUDGET OVERVIEW'!B1</f>
        <v>2022</v>
      </c>
      <c r="W2" s="689"/>
      <c r="X2" s="12"/>
      <c r="Y2" s="697"/>
      <c r="Z2" s="697"/>
      <c r="AB2" s="23" t="s">
        <v>28</v>
      </c>
      <c r="AC2" s="669"/>
      <c r="AD2" s="24" t="s">
        <v>299</v>
      </c>
    </row>
    <row r="3" spans="1:33" ht="15.75" thickBot="1" x14ac:dyDescent="0.3">
      <c r="A3" s="421" t="str">
        <f>IFERROR(VLOOKUP(D3,'JONS-ADPLANNING'!$G$3:$K$44,4),"")</f>
        <v/>
      </c>
      <c r="B3" s="421" t="str">
        <f>IFERROR(VLOOKUP($D3,HELPER!$A$1:$B$42,2,FALSE),"")</f>
        <v/>
      </c>
      <c r="C3" s="4"/>
      <c r="D3" s="4"/>
      <c r="E3" s="4"/>
      <c r="F3" s="92"/>
      <c r="G3" s="6"/>
      <c r="H3" s="5"/>
      <c r="I3" s="5"/>
      <c r="J3" s="6"/>
      <c r="K3" s="9"/>
      <c r="L3" s="6"/>
      <c r="M3" s="406" t="str">
        <f t="shared" si="0"/>
        <v/>
      </c>
      <c r="N3" s="53" t="str">
        <f t="shared" ref="N3:N66" si="4">IF(ISBLANK(K3),"",IF(K3=0,"BAD",IF(M3&gt;=Q3,"BAD",IF(M3&gt;=P3,"OK",IF(M3&lt;=O3,"GOOD")))))</f>
        <v/>
      </c>
      <c r="O3" s="53">
        <f t="shared" si="1"/>
        <v>-0.01</v>
      </c>
      <c r="P3" s="53">
        <f t="shared" si="2"/>
        <v>0</v>
      </c>
      <c r="Q3" s="53">
        <f t="shared" si="3"/>
        <v>0</v>
      </c>
      <c r="R3" s="6"/>
      <c r="S3" s="8"/>
      <c r="T3" s="8"/>
      <c r="V3" s="694" t="s">
        <v>23</v>
      </c>
      <c r="W3" s="695"/>
      <c r="X3" s="695"/>
      <c r="Y3" s="695"/>
      <c r="Z3" s="696"/>
      <c r="AB3" s="213">
        <v>74.930000000000007</v>
      </c>
      <c r="AC3" s="669"/>
      <c r="AD3" s="214">
        <v>51.72</v>
      </c>
    </row>
    <row r="4" spans="1:33" ht="15.75" thickBot="1" x14ac:dyDescent="0.3">
      <c r="A4" s="421" t="str">
        <f>IFERROR(VLOOKUP(D4,'JONS-ADPLANNING'!$G$3:$K$44,4),"")</f>
        <v/>
      </c>
      <c r="B4" s="421" t="str">
        <f>IFERROR(VLOOKUP($D4,HELPER!$A$1:$B$42,2,FALSE),"")</f>
        <v/>
      </c>
      <c r="C4" s="4"/>
      <c r="D4" s="4"/>
      <c r="E4" s="4"/>
      <c r="F4" s="92"/>
      <c r="G4" s="6"/>
      <c r="H4" s="5"/>
      <c r="I4" s="5"/>
      <c r="J4" s="6"/>
      <c r="K4" s="9"/>
      <c r="L4" s="6"/>
      <c r="M4" s="406" t="str">
        <f t="shared" si="0"/>
        <v/>
      </c>
      <c r="N4" s="53" t="str">
        <f t="shared" si="4"/>
        <v/>
      </c>
      <c r="O4" s="53">
        <f t="shared" si="1"/>
        <v>-0.01</v>
      </c>
      <c r="P4" s="53">
        <f t="shared" si="2"/>
        <v>0</v>
      </c>
      <c r="Q4" s="53">
        <f t="shared" si="3"/>
        <v>0</v>
      </c>
      <c r="R4" s="6"/>
      <c r="S4" s="6"/>
      <c r="T4" s="6"/>
      <c r="V4" s="690" t="s">
        <v>7</v>
      </c>
      <c r="W4" s="691"/>
      <c r="X4" s="13"/>
      <c r="Y4" s="692" t="s">
        <v>22</v>
      </c>
      <c r="Z4" s="693"/>
      <c r="AA4" s="144"/>
      <c r="AB4" s="670"/>
      <c r="AC4" s="671"/>
      <c r="AD4" s="672"/>
    </row>
    <row r="5" spans="1:33" x14ac:dyDescent="0.25">
      <c r="A5" s="421" t="str">
        <f>IFERROR(VLOOKUP(D5,'JONS-ADPLANNING'!$G$3:$K$44,4),"")</f>
        <v/>
      </c>
      <c r="B5" s="421" t="str">
        <f>IFERROR(VLOOKUP($D5,HELPER!$A$1:$B$42,2,FALSE),"")</f>
        <v/>
      </c>
      <c r="C5" s="4"/>
      <c r="D5" s="4"/>
      <c r="E5" s="4"/>
      <c r="F5" s="92"/>
      <c r="G5" s="6"/>
      <c r="H5" s="5"/>
      <c r="I5" s="5"/>
      <c r="J5" s="6"/>
      <c r="K5" s="9"/>
      <c r="L5" s="6"/>
      <c r="M5" s="406" t="str">
        <f t="shared" si="0"/>
        <v/>
      </c>
      <c r="N5" s="53" t="str">
        <f t="shared" si="4"/>
        <v/>
      </c>
      <c r="O5" s="53">
        <f t="shared" si="1"/>
        <v>-0.01</v>
      </c>
      <c r="P5" s="53">
        <f>Q5/2</f>
        <v>0</v>
      </c>
      <c r="Q5" s="53">
        <f>L5*150%</f>
        <v>0</v>
      </c>
      <c r="R5" s="6"/>
      <c r="S5" s="8"/>
      <c r="T5" s="8"/>
      <c r="U5" s="17"/>
      <c r="V5" s="218" t="s">
        <v>2</v>
      </c>
      <c r="W5" s="49">
        <f>SUMIFS(BOOTHPLC,BOOTHPLD,"&gt;="&amp;BPOCT,BOOTHPLD,"&lt;="&amp;EOMONTH(BPOCT,2))</f>
        <v>0</v>
      </c>
      <c r="X5" s="13"/>
      <c r="Y5" s="224" t="s">
        <v>2</v>
      </c>
      <c r="Z5" s="19">
        <f>SUMIFS(BOOTHACC,BOOTHDAP,"&gt;="&amp;BPOCT,BOOTHDAP,"&lt;="&amp;EOMONTH(BPOCT,2))</f>
        <v>0</v>
      </c>
      <c r="AA5" s="145"/>
      <c r="AB5" s="14" t="s">
        <v>25</v>
      </c>
      <c r="AC5" s="15" t="s">
        <v>26</v>
      </c>
      <c r="AD5" s="16" t="s">
        <v>27</v>
      </c>
    </row>
    <row r="6" spans="1:33" x14ac:dyDescent="0.25">
      <c r="A6" s="421" t="str">
        <f>IFERROR(VLOOKUP(D6,'JONS-ADPLANNING'!$G$3:$K$44,4),"")</f>
        <v/>
      </c>
      <c r="B6" s="421" t="str">
        <f>IFERROR(VLOOKUP($D6,HELPER!$A$1:$B$42,2,FALSE),"")</f>
        <v/>
      </c>
      <c r="C6" s="4"/>
      <c r="D6" s="4"/>
      <c r="E6" s="4"/>
      <c r="F6" s="112"/>
      <c r="G6" s="6"/>
      <c r="H6" s="5"/>
      <c r="I6" s="5"/>
      <c r="J6" s="6"/>
      <c r="K6" s="56"/>
      <c r="L6" s="7"/>
      <c r="M6" s="406" t="str">
        <f t="shared" si="0"/>
        <v/>
      </c>
      <c r="N6" s="53" t="str">
        <f t="shared" si="4"/>
        <v/>
      </c>
      <c r="O6" s="53">
        <f t="shared" si="1"/>
        <v>-0.01</v>
      </c>
      <c r="P6" s="53">
        <f t="shared" si="2"/>
        <v>0</v>
      </c>
      <c r="Q6" s="53">
        <f t="shared" si="3"/>
        <v>0</v>
      </c>
      <c r="R6" s="8"/>
      <c r="S6" s="8"/>
      <c r="T6" s="8"/>
      <c r="V6" s="218" t="s">
        <v>3</v>
      </c>
      <c r="W6" s="49">
        <f>SUMIFS(BOOTHPLC,BOOTHPLD,"&gt;="&amp;BPJAN,BOOTHPLD,"&lt;="&amp;EOMONTH(BPJAN,2))</f>
        <v>0</v>
      </c>
      <c r="X6" s="13"/>
      <c r="Y6" s="224" t="s">
        <v>3</v>
      </c>
      <c r="Z6" s="19">
        <f>SUMIFS(BOOTHACC,BOOTHDAP,"&gt;="&amp;BPJAN,BOOTHDAP,"&lt;="&amp;EOMONTH(BPJAN,2))</f>
        <v>0</v>
      </c>
      <c r="AA6" s="145"/>
      <c r="AB6" s="20">
        <f>AC6-0.01</f>
        <v>56.187500000000007</v>
      </c>
      <c r="AC6" s="21">
        <f>AD6/2</f>
        <v>56.197500000000005</v>
      </c>
      <c r="AD6" s="22">
        <f>AB3*150%</f>
        <v>112.39500000000001</v>
      </c>
      <c r="AG6" s="46"/>
    </row>
    <row r="7" spans="1:33" x14ac:dyDescent="0.25">
      <c r="A7" s="421" t="str">
        <f>IFERROR(VLOOKUP(D7,'JONS-ADPLANNING'!$G$3:$K$44,4),"")</f>
        <v/>
      </c>
      <c r="B7" s="421" t="str">
        <f>IFERROR(VLOOKUP($D7,HELPER!$A$1:$B$42,2,FALSE),"")</f>
        <v/>
      </c>
      <c r="C7" s="4"/>
      <c r="D7" s="4"/>
      <c r="E7" s="4"/>
      <c r="F7" s="112"/>
      <c r="G7" s="6"/>
      <c r="H7" s="5"/>
      <c r="I7" s="5"/>
      <c r="J7" s="6"/>
      <c r="K7" s="56"/>
      <c r="L7" s="7"/>
      <c r="M7" s="406" t="str">
        <f t="shared" si="0"/>
        <v/>
      </c>
      <c r="N7" s="53" t="str">
        <f t="shared" si="4"/>
        <v/>
      </c>
      <c r="O7" s="53">
        <f t="shared" si="1"/>
        <v>-0.01</v>
      </c>
      <c r="P7" s="53">
        <f t="shared" si="2"/>
        <v>0</v>
      </c>
      <c r="Q7" s="53">
        <f t="shared" si="3"/>
        <v>0</v>
      </c>
      <c r="R7" s="8"/>
      <c r="S7" s="8"/>
      <c r="T7" s="8"/>
      <c r="V7" s="218" t="s">
        <v>4</v>
      </c>
      <c r="W7" s="49">
        <f>SUMIFS(BOOTHPLC,BOOTHPLD,"&gt;="&amp;BPAPR,BOOTHPLD,"&lt;="&amp;EOMONTH(BPAPR,2))</f>
        <v>0</v>
      </c>
      <c r="X7" s="13"/>
      <c r="Y7" s="224" t="s">
        <v>4</v>
      </c>
      <c r="Z7" s="19">
        <f>SUMIFS(BOOTHACC,BOOTHDAP,"&gt;="&amp;BPAPR,BOOTHDAP,"&lt;="&amp;EOMONTH(BPAPR,2))</f>
        <v>0</v>
      </c>
      <c r="AA7" s="145"/>
      <c r="AB7" s="568"/>
      <c r="AC7" s="569"/>
      <c r="AD7" s="668"/>
    </row>
    <row r="8" spans="1:33" ht="15.75" thickBot="1" x14ac:dyDescent="0.3">
      <c r="A8" s="421" t="str">
        <f>IFERROR(VLOOKUP(D8,'JONS-ADPLANNING'!$G$3:$K$44,4),"")</f>
        <v/>
      </c>
      <c r="B8" s="421" t="str">
        <f>IFERROR(VLOOKUP($D8,HELPER!$A$1:$B$42,2,FALSE),"")</f>
        <v/>
      </c>
      <c r="C8" s="4"/>
      <c r="D8" s="4"/>
      <c r="E8" s="4"/>
      <c r="F8" s="92"/>
      <c r="G8" s="6"/>
      <c r="H8" s="5"/>
      <c r="I8" s="5"/>
      <c r="J8" s="6"/>
      <c r="K8" s="9"/>
      <c r="L8" s="6"/>
      <c r="M8" s="406" t="str">
        <f t="shared" si="0"/>
        <v/>
      </c>
      <c r="N8" s="53" t="str">
        <f t="shared" si="4"/>
        <v/>
      </c>
      <c r="O8" s="53">
        <f t="shared" si="1"/>
        <v>-0.01</v>
      </c>
      <c r="P8" s="53">
        <f t="shared" si="2"/>
        <v>0</v>
      </c>
      <c r="Q8" s="53">
        <f t="shared" si="3"/>
        <v>0</v>
      </c>
      <c r="R8" s="8"/>
      <c r="S8" s="6"/>
      <c r="T8" s="6"/>
      <c r="V8" s="345" t="s">
        <v>5</v>
      </c>
      <c r="W8" s="50">
        <f>SUMIFS(BOOTHPLC,BOOTHPLD,"&gt;="&amp;BPJUL,BOOTHPLD,"&lt;="&amp;EOMONTH(BPJUL,2))</f>
        <v>0</v>
      </c>
      <c r="X8" s="13"/>
      <c r="Y8" s="346" t="s">
        <v>5</v>
      </c>
      <c r="Z8" s="48">
        <f>SUMIFS(BOOTHACC,BOOTHDAP,"&gt;="&amp;BPJUL,BOOTHDAP,"&lt;="&amp;EOMONTH(BPJUL,2))</f>
        <v>0</v>
      </c>
      <c r="AA8" s="145"/>
      <c r="AB8" s="673" t="s">
        <v>28</v>
      </c>
      <c r="AC8" s="674"/>
      <c r="AD8" s="675"/>
    </row>
    <row r="9" spans="1:33" ht="15.75" thickBot="1" x14ac:dyDescent="0.3">
      <c r="A9" s="421" t="str">
        <f>IFERROR(VLOOKUP(D9,'JONS-ADPLANNING'!$G$3:$K$44,4),"")</f>
        <v/>
      </c>
      <c r="B9" s="421" t="str">
        <f>IFERROR(VLOOKUP($D9,HELPER!$A$1:$B$42,2,FALSE),"")</f>
        <v/>
      </c>
      <c r="C9" s="4"/>
      <c r="D9" s="4"/>
      <c r="E9" s="4"/>
      <c r="F9" s="112"/>
      <c r="G9" s="6"/>
      <c r="H9" s="5"/>
      <c r="I9" s="5"/>
      <c r="J9" s="6"/>
      <c r="K9" s="56"/>
      <c r="L9" s="7"/>
      <c r="M9" s="406" t="str">
        <f t="shared" si="0"/>
        <v/>
      </c>
      <c r="N9" s="53" t="str">
        <f t="shared" si="4"/>
        <v/>
      </c>
      <c r="O9" s="53">
        <f t="shared" si="1"/>
        <v>-0.01</v>
      </c>
      <c r="P9" s="53">
        <f t="shared" si="2"/>
        <v>0</v>
      </c>
      <c r="Q9" s="53">
        <f t="shared" si="3"/>
        <v>0</v>
      </c>
      <c r="R9" s="8"/>
      <c r="S9" s="8"/>
      <c r="T9" s="8"/>
      <c r="V9" s="27" t="s">
        <v>6</v>
      </c>
      <c r="W9" s="28">
        <f>SUM(W5:W8)</f>
        <v>0</v>
      </c>
      <c r="X9" s="13"/>
      <c r="Y9" s="29" t="s">
        <v>6</v>
      </c>
      <c r="Z9" s="30">
        <f>SUM(Z5:Z8)</f>
        <v>0</v>
      </c>
      <c r="AA9" s="145"/>
      <c r="AB9" s="676" t="s">
        <v>29</v>
      </c>
      <c r="AC9" s="678" t="s">
        <v>46</v>
      </c>
      <c r="AD9" s="680" t="s">
        <v>30</v>
      </c>
    </row>
    <row r="10" spans="1:33" x14ac:dyDescent="0.25">
      <c r="A10" s="421" t="str">
        <f>IFERROR(VLOOKUP(D10,'JONS-ADPLANNING'!$G$3:$K$44,4),"")</f>
        <v/>
      </c>
      <c r="B10" s="421" t="str">
        <f>IFERROR(VLOOKUP($D10,HELPER!$A$1:$B$42,2,FALSE),"")</f>
        <v/>
      </c>
      <c r="C10" s="4"/>
      <c r="D10" s="4"/>
      <c r="E10" s="4"/>
      <c r="F10" s="92"/>
      <c r="G10" s="6"/>
      <c r="H10" s="5"/>
      <c r="I10" s="5"/>
      <c r="J10" s="6"/>
      <c r="K10" s="9"/>
      <c r="L10" s="6"/>
      <c r="M10" s="406" t="str">
        <f t="shared" si="0"/>
        <v/>
      </c>
      <c r="N10" s="53" t="str">
        <f t="shared" si="4"/>
        <v/>
      </c>
      <c r="O10" s="53">
        <f t="shared" si="1"/>
        <v>-0.01</v>
      </c>
      <c r="P10" s="53">
        <f t="shared" si="2"/>
        <v>0</v>
      </c>
      <c r="Q10" s="53">
        <f t="shared" si="3"/>
        <v>0</v>
      </c>
      <c r="R10" s="6"/>
      <c r="S10" s="8"/>
      <c r="T10" s="8"/>
      <c r="V10" s="690" t="s">
        <v>21</v>
      </c>
      <c r="W10" s="691"/>
      <c r="X10" s="13"/>
      <c r="Y10" s="692" t="s">
        <v>57</v>
      </c>
      <c r="Z10" s="693"/>
      <c r="AA10" s="144"/>
      <c r="AB10" s="677"/>
      <c r="AC10" s="679"/>
      <c r="AD10" s="681"/>
    </row>
    <row r="11" spans="1:33" x14ac:dyDescent="0.25">
      <c r="A11" s="421" t="str">
        <f>IFERROR(VLOOKUP(D11,'JONS-ADPLANNING'!$G$3:$K$44,4),"")</f>
        <v/>
      </c>
      <c r="B11" s="421" t="str">
        <f>IFERROR(VLOOKUP($D11,HELPER!$A$1:$B$42,2,FALSE),"")</f>
        <v/>
      </c>
      <c r="C11" s="4"/>
      <c r="D11" s="4"/>
      <c r="E11" s="4"/>
      <c r="F11" s="92"/>
      <c r="G11" s="6"/>
      <c r="H11" s="5"/>
      <c r="I11" s="5"/>
      <c r="J11" s="6"/>
      <c r="K11" s="9"/>
      <c r="L11" s="6"/>
      <c r="M11" s="406" t="str">
        <f t="shared" si="0"/>
        <v/>
      </c>
      <c r="N11" s="53" t="str">
        <f t="shared" si="4"/>
        <v/>
      </c>
      <c r="O11" s="53">
        <f t="shared" si="1"/>
        <v>-0.01</v>
      </c>
      <c r="P11" s="53">
        <f t="shared" si="2"/>
        <v>0</v>
      </c>
      <c r="Q11" s="53">
        <f t="shared" si="3"/>
        <v>0</v>
      </c>
      <c r="R11" s="8"/>
      <c r="S11" s="6"/>
      <c r="T11" s="6"/>
      <c r="V11" s="217">
        <f>DATE(($V$2-1),10,1)</f>
        <v>44470</v>
      </c>
      <c r="W11" s="49">
        <f>SUMIFS(BOOTHPLC,BOOTHPLD,"&gt;="&amp;BPOCT,BOOTHPLD,"&lt;="&amp;EOMONTH(BPOCT,0))</f>
        <v>0</v>
      </c>
      <c r="X11" s="13"/>
      <c r="Y11" s="224" t="s">
        <v>18</v>
      </c>
      <c r="Z11" s="19">
        <f>SUMIFS(BOOTHACC,BOOTHDAP,"&gt;="&amp;BPOCT,BOOTHDAP,"&lt;="&amp;EOMONTH(BPOCT,0))</f>
        <v>0</v>
      </c>
      <c r="AA11" s="145"/>
      <c r="AB11" s="209">
        <v>95</v>
      </c>
      <c r="AC11" s="210">
        <v>5538</v>
      </c>
      <c r="AD11" s="31">
        <f>AB11/AC11</f>
        <v>1.7154207295052366E-2</v>
      </c>
    </row>
    <row r="12" spans="1:33" x14ac:dyDescent="0.25">
      <c r="A12" s="421" t="str">
        <f>IFERROR(VLOOKUP(D12,'JONS-ADPLANNING'!$G$3:$K$44,4),"")</f>
        <v/>
      </c>
      <c r="B12" s="421" t="str">
        <f>IFERROR(VLOOKUP($D12,HELPER!$A$1:$B$42,2,FALSE),"")</f>
        <v/>
      </c>
      <c r="C12" s="4"/>
      <c r="D12" s="4"/>
      <c r="E12" s="4"/>
      <c r="F12" s="92"/>
      <c r="G12" s="6"/>
      <c r="H12" s="5"/>
      <c r="I12" s="5"/>
      <c r="J12" s="6"/>
      <c r="K12" s="9"/>
      <c r="L12" s="6"/>
      <c r="M12" s="406" t="str">
        <f t="shared" si="0"/>
        <v/>
      </c>
      <c r="N12" s="53" t="str">
        <f t="shared" si="4"/>
        <v/>
      </c>
      <c r="O12" s="53">
        <f t="shared" si="1"/>
        <v>-0.01</v>
      </c>
      <c r="P12" s="53">
        <f t="shared" si="2"/>
        <v>0</v>
      </c>
      <c r="Q12" s="53">
        <f t="shared" si="3"/>
        <v>0</v>
      </c>
      <c r="R12" s="6"/>
      <c r="S12" s="6"/>
      <c r="T12" s="8"/>
      <c r="V12" s="217">
        <f>DATE(($V$2-1),11,1)</f>
        <v>44501</v>
      </c>
      <c r="W12" s="49">
        <f>SUMIFS(BOOTHPLC,BOOTHPLD,"&gt;="&amp;BPNOV,BOOTHPLD,"&lt;="&amp;EOMONTH(BPNOV,0))</f>
        <v>0</v>
      </c>
      <c r="X12" s="13"/>
      <c r="Y12" s="224" t="s">
        <v>19</v>
      </c>
      <c r="Z12" s="19">
        <f>SUMIFS(BOOTHACC,BOOTHDAP,"&gt;="&amp;BPNOV,BOOTHDAP,"&lt;="&amp;EOMONTH(BPNOV,0))</f>
        <v>0</v>
      </c>
      <c r="AA12" s="145"/>
      <c r="AB12" s="682"/>
      <c r="AC12" s="683"/>
      <c r="AD12" s="684"/>
    </row>
    <row r="13" spans="1:33" x14ac:dyDescent="0.25">
      <c r="A13" s="421" t="str">
        <f>IFERROR(VLOOKUP(D13,'JONS-ADPLANNING'!$G$3:$K$44,4),"")</f>
        <v/>
      </c>
      <c r="B13" s="421" t="str">
        <f>IFERROR(VLOOKUP($D13,HELPER!$A$1:$B$42,2,FALSE),"")</f>
        <v/>
      </c>
      <c r="C13" s="4"/>
      <c r="D13" s="4"/>
      <c r="E13" s="4"/>
      <c r="F13" s="92"/>
      <c r="G13" s="6"/>
      <c r="H13" s="5"/>
      <c r="I13" s="5"/>
      <c r="J13" s="6"/>
      <c r="K13" s="9"/>
      <c r="L13" s="6"/>
      <c r="M13" s="406" t="str">
        <f t="shared" si="0"/>
        <v/>
      </c>
      <c r="N13" s="53" t="str">
        <f t="shared" si="4"/>
        <v/>
      </c>
      <c r="O13" s="53">
        <f t="shared" si="1"/>
        <v>-0.01</v>
      </c>
      <c r="P13" s="53">
        <f t="shared" si="2"/>
        <v>0</v>
      </c>
      <c r="Q13" s="53">
        <f t="shared" si="3"/>
        <v>0</v>
      </c>
      <c r="R13" s="8"/>
      <c r="S13" s="6"/>
      <c r="T13" s="8"/>
      <c r="V13" s="217">
        <f>DATE(($V$2-1),12,1)</f>
        <v>44531</v>
      </c>
      <c r="W13" s="49">
        <f>SUMIFS(BOOTHPLC,BOOTHPLD,"&gt;="&amp;BPDEC,BOOTHPLD,"&lt;="&amp;EOMONTH(BPDEC,0))</f>
        <v>0</v>
      </c>
      <c r="X13" s="13"/>
      <c r="Y13" s="224" t="s">
        <v>20</v>
      </c>
      <c r="Z13" s="19">
        <f>SUMIFS(BOOTHACC,BOOTHDAP,"&gt;="&amp;BPDEC,BOOTHDAP,"&lt;="&amp;EOMONTH(BPDEC,0))</f>
        <v>0</v>
      </c>
      <c r="AA13" s="145"/>
      <c r="AB13" s="685" t="s">
        <v>199</v>
      </c>
      <c r="AC13" s="686"/>
      <c r="AD13" s="687"/>
    </row>
    <row r="14" spans="1:33" x14ac:dyDescent="0.25">
      <c r="A14" s="421" t="str">
        <f>IFERROR(VLOOKUP(D14,'JONS-ADPLANNING'!$G$3:$K$44,4),"")</f>
        <v/>
      </c>
      <c r="B14" s="421" t="str">
        <f>IFERROR(VLOOKUP($D14,HELPER!$A$1:$B$42,2,FALSE),"")</f>
        <v/>
      </c>
      <c r="C14" s="4"/>
      <c r="D14" s="4"/>
      <c r="E14" s="4"/>
      <c r="F14" s="92"/>
      <c r="G14" s="6"/>
      <c r="H14" s="5"/>
      <c r="I14" s="5"/>
      <c r="J14" s="6"/>
      <c r="K14" s="9"/>
      <c r="L14" s="6"/>
      <c r="M14" s="406" t="str">
        <f t="shared" si="0"/>
        <v/>
      </c>
      <c r="N14" s="53" t="str">
        <f t="shared" si="4"/>
        <v/>
      </c>
      <c r="O14" s="53">
        <f t="shared" si="1"/>
        <v>-0.01</v>
      </c>
      <c r="P14" s="53">
        <f t="shared" si="2"/>
        <v>0</v>
      </c>
      <c r="Q14" s="53">
        <f t="shared" si="3"/>
        <v>0</v>
      </c>
      <c r="R14" s="6"/>
      <c r="S14" s="8"/>
      <c r="T14" s="8"/>
      <c r="V14" s="217">
        <f>DATE(($V$2),1,1)</f>
        <v>44562</v>
      </c>
      <c r="W14" s="49">
        <f>SUMIFS(BOOTHPLC,BOOTHPLD,"&gt;="&amp;BPJAN,BOOTHPLD,"&lt;="&amp;EOMONTH(BPJAN,0))</f>
        <v>0</v>
      </c>
      <c r="X14" s="13"/>
      <c r="Y14" s="224" t="s">
        <v>9</v>
      </c>
      <c r="Z14" s="19">
        <f>SUMIFS(BOOTHACC,BOOTHDAP,"&gt;="&amp;BPJAN,BOOTHDAP,"&lt;="&amp;EOMONTH(BPJAN,0))</f>
        <v>0</v>
      </c>
      <c r="AA14" s="145"/>
      <c r="AB14" s="676" t="s">
        <v>29</v>
      </c>
      <c r="AC14" s="678" t="s">
        <v>46</v>
      </c>
      <c r="AD14" s="680" t="s">
        <v>300</v>
      </c>
    </row>
    <row r="15" spans="1:33" x14ac:dyDescent="0.25">
      <c r="A15" s="421" t="str">
        <f>IFERROR(VLOOKUP(D15,'JONS-ADPLANNING'!$G$3:$K$44,4),"")</f>
        <v/>
      </c>
      <c r="B15" s="421" t="str">
        <f>IFERROR(VLOOKUP($D15,HELPER!$A$1:$B$42,2,FALSE),"")</f>
        <v/>
      </c>
      <c r="C15" s="4"/>
      <c r="D15" s="4"/>
      <c r="E15" s="4"/>
      <c r="F15" s="112"/>
      <c r="G15" s="6"/>
      <c r="H15" s="5"/>
      <c r="I15" s="5"/>
      <c r="J15" s="6"/>
      <c r="K15" s="56"/>
      <c r="L15" s="7"/>
      <c r="M15" s="406" t="str">
        <f t="shared" si="0"/>
        <v/>
      </c>
      <c r="N15" s="53" t="str">
        <f t="shared" si="4"/>
        <v/>
      </c>
      <c r="O15" s="53">
        <f t="shared" si="1"/>
        <v>-0.01</v>
      </c>
      <c r="P15" s="53">
        <f t="shared" si="2"/>
        <v>0</v>
      </c>
      <c r="Q15" s="53">
        <f t="shared" si="3"/>
        <v>0</v>
      </c>
      <c r="R15" s="8"/>
      <c r="S15" s="6"/>
      <c r="T15" s="6"/>
      <c r="V15" s="217">
        <f>DATE(($V$2),2,1)</f>
        <v>44593</v>
      </c>
      <c r="W15" s="49">
        <f>SUMIFS(BOOTHPLC,BOOTHPLD,"&gt;="&amp;BPFEB,BOOTHPLD,"&lt;="&amp;EOMONTH(BPFEB,0))</f>
        <v>0</v>
      </c>
      <c r="X15" s="13"/>
      <c r="Y15" s="224" t="s">
        <v>10</v>
      </c>
      <c r="Z15" s="19">
        <f>SUMIFS(BOOTHACC,BOOTHDAP,"&gt;="&amp;BPFEB,BOOTHDAP,"&lt;="&amp;EOMONTH(BPFEB,0))</f>
        <v>0</v>
      </c>
      <c r="AA15" s="145"/>
      <c r="AB15" s="677"/>
      <c r="AC15" s="679"/>
      <c r="AD15" s="681"/>
    </row>
    <row r="16" spans="1:33" x14ac:dyDescent="0.25">
      <c r="A16" s="421" t="str">
        <f>IFERROR(VLOOKUP(D16,'JONS-ADPLANNING'!$G$3:$K$44,4),"")</f>
        <v/>
      </c>
      <c r="B16" s="421" t="str">
        <f>IFERROR(VLOOKUP($D16,HELPER!$A$1:$B$42,2,FALSE),"")</f>
        <v/>
      </c>
      <c r="C16" s="4"/>
      <c r="D16" s="4"/>
      <c r="E16" s="4"/>
      <c r="F16" s="92"/>
      <c r="G16" s="6"/>
      <c r="H16" s="5"/>
      <c r="I16" s="5"/>
      <c r="J16" s="6"/>
      <c r="K16" s="9"/>
      <c r="L16" s="6"/>
      <c r="M16" s="406" t="str">
        <f t="shared" si="0"/>
        <v/>
      </c>
      <c r="N16" s="53" t="str">
        <f t="shared" si="4"/>
        <v/>
      </c>
      <c r="O16" s="53">
        <f t="shared" si="1"/>
        <v>-0.01</v>
      </c>
      <c r="P16" s="53">
        <f t="shared" si="2"/>
        <v>0</v>
      </c>
      <c r="Q16" s="53">
        <f t="shared" si="3"/>
        <v>0</v>
      </c>
      <c r="R16" s="8"/>
      <c r="S16" s="8"/>
      <c r="T16" s="8"/>
      <c r="V16" s="217">
        <f>DATE(($V$2),3,1)</f>
        <v>44621</v>
      </c>
      <c r="W16" s="49">
        <f>SUMIFS(BOOTHPLC,BOOTHPLD,"&gt;="&amp;BPMAR,BOOTHPLD,"&lt;="&amp;EOMONTH(BPMAR,0))</f>
        <v>0</v>
      </c>
      <c r="X16" s="13"/>
      <c r="Y16" s="224" t="s">
        <v>11</v>
      </c>
      <c r="Z16" s="19">
        <f>SUMIFS(BOOTHACC,BOOTHDAP,"&gt;="&amp;BPMAR,BOOTHDAP,"&lt;="&amp;EOMONTH(BPMAR,0))</f>
        <v>0</v>
      </c>
      <c r="AA16" s="145"/>
      <c r="AB16" s="209">
        <v>1</v>
      </c>
      <c r="AC16" s="210">
        <v>3</v>
      </c>
      <c r="AD16" s="31">
        <f>AB16/AC16</f>
        <v>0.33333333333333331</v>
      </c>
      <c r="AF16" s="95"/>
    </row>
    <row r="17" spans="1:30" x14ac:dyDescent="0.25">
      <c r="A17" s="421" t="str">
        <f>IFERROR(VLOOKUP(D17,'JONS-ADPLANNING'!$G$3:$K$44,4),"")</f>
        <v/>
      </c>
      <c r="B17" s="421" t="str">
        <f>IFERROR(VLOOKUP($D17,HELPER!$A$1:$B$42,2,FALSE),"")</f>
        <v/>
      </c>
      <c r="C17" s="4"/>
      <c r="D17" s="4"/>
      <c r="E17" s="4"/>
      <c r="F17" s="92"/>
      <c r="G17" s="6"/>
      <c r="H17" s="5"/>
      <c r="I17" s="5"/>
      <c r="J17" s="6"/>
      <c r="K17" s="9"/>
      <c r="L17" s="6"/>
      <c r="M17" s="406" t="str">
        <f t="shared" si="0"/>
        <v/>
      </c>
      <c r="N17" s="53" t="str">
        <f t="shared" si="4"/>
        <v/>
      </c>
      <c r="O17" s="53">
        <f t="shared" si="1"/>
        <v>-0.01</v>
      </c>
      <c r="P17" s="53">
        <f t="shared" si="2"/>
        <v>0</v>
      </c>
      <c r="Q17" s="53">
        <f t="shared" si="3"/>
        <v>0</v>
      </c>
      <c r="R17" s="8"/>
      <c r="S17" s="6"/>
      <c r="T17" s="6"/>
      <c r="V17" s="217">
        <f>DATE(($V$2),4,1)</f>
        <v>44652</v>
      </c>
      <c r="W17" s="49">
        <f>SUMIFS(BOOTHPLC,BOOTHPLD,"&gt;="&amp;BPAPR,BOOTHPLD,"&lt;="&amp;EOMONTH(BPAPR,0))</f>
        <v>0</v>
      </c>
      <c r="X17" s="13"/>
      <c r="Y17" s="224" t="s">
        <v>12</v>
      </c>
      <c r="Z17" s="19">
        <f>SUMIFS(BOOTHACC,BOOTHDAP,"&gt;="&amp;BPAPR,BOOTHDAP,"&lt;="&amp;EOMONTH(BPAPR,0))</f>
        <v>0</v>
      </c>
      <c r="AA17" s="145"/>
      <c r="AB17" s="662"/>
      <c r="AC17" s="663"/>
      <c r="AD17" s="664"/>
    </row>
    <row r="18" spans="1:30" x14ac:dyDescent="0.25">
      <c r="A18" s="421" t="str">
        <f>IFERROR(VLOOKUP(D18,'JONS-ADPLANNING'!$G$3:$K$44,4),"")</f>
        <v/>
      </c>
      <c r="B18" s="421" t="str">
        <f>IFERROR(VLOOKUP($D18,HELPER!$A$1:$B$42,2,FALSE),"")</f>
        <v/>
      </c>
      <c r="C18" s="4"/>
      <c r="D18" s="4"/>
      <c r="E18" s="4"/>
      <c r="F18" s="92"/>
      <c r="G18" s="6"/>
      <c r="H18" s="5"/>
      <c r="I18" s="5"/>
      <c r="J18" s="6"/>
      <c r="K18" s="9"/>
      <c r="L18" s="6"/>
      <c r="M18" s="406" t="str">
        <f t="shared" si="0"/>
        <v/>
      </c>
      <c r="N18" s="53" t="str">
        <f t="shared" si="4"/>
        <v/>
      </c>
      <c r="O18" s="53">
        <f t="shared" si="1"/>
        <v>-0.01</v>
      </c>
      <c r="P18" s="53">
        <f t="shared" si="2"/>
        <v>0</v>
      </c>
      <c r="Q18" s="53">
        <f t="shared" si="3"/>
        <v>0</v>
      </c>
      <c r="R18" s="6"/>
      <c r="S18" s="8"/>
      <c r="T18" s="6"/>
      <c r="V18" s="217">
        <f>DATE(($V$2),5,1)</f>
        <v>44682</v>
      </c>
      <c r="W18" s="49">
        <f>SUMIFS(BOOTHPLC,BOOTHPLD,"&gt;="&amp;BPMAY,BOOTHPLD,"&lt;="&amp;EOMONTH(BPMAY,0))</f>
        <v>0</v>
      </c>
      <c r="X18" s="13"/>
      <c r="Y18" s="224" t="s">
        <v>13</v>
      </c>
      <c r="Z18" s="19">
        <f>SUMIFS(BOOTHACC,BOOTHDAP,"&gt;="&amp;BPMAY,BOOTHDAP,"&lt;="&amp;EOMONTH(BPMAY,0))</f>
        <v>0</v>
      </c>
      <c r="AA18" s="145"/>
      <c r="AB18" s="32" t="s">
        <v>31</v>
      </c>
      <c r="AC18" s="33" t="s">
        <v>32</v>
      </c>
      <c r="AD18" s="34" t="s">
        <v>33</v>
      </c>
    </row>
    <row r="19" spans="1:30" ht="15.75" thickBot="1" x14ac:dyDescent="0.3">
      <c r="A19" s="421" t="str">
        <f>IFERROR(VLOOKUP(D19,'JONS-ADPLANNING'!$G$3:$K$44,4),"")</f>
        <v/>
      </c>
      <c r="B19" s="421" t="str">
        <f>IFERROR(VLOOKUP($D19,HELPER!$A$1:$B$42,2,FALSE),"")</f>
        <v/>
      </c>
      <c r="C19" s="4"/>
      <c r="D19" s="4"/>
      <c r="E19" s="4"/>
      <c r="F19" s="112"/>
      <c r="G19" s="6"/>
      <c r="H19" s="5"/>
      <c r="I19" s="5"/>
      <c r="J19" s="6"/>
      <c r="K19" s="56"/>
      <c r="L19" s="7"/>
      <c r="M19" s="406" t="str">
        <f t="shared" si="0"/>
        <v/>
      </c>
      <c r="N19" s="53" t="str">
        <f t="shared" si="4"/>
        <v/>
      </c>
      <c r="O19" s="53">
        <f t="shared" si="1"/>
        <v>-0.01</v>
      </c>
      <c r="P19" s="53">
        <f t="shared" si="2"/>
        <v>0</v>
      </c>
      <c r="Q19" s="53">
        <f t="shared" si="3"/>
        <v>0</v>
      </c>
      <c r="R19" s="8"/>
      <c r="S19" s="8"/>
      <c r="T19" s="8"/>
      <c r="V19" s="217">
        <f>DATE(($V$2),6,1)</f>
        <v>44713</v>
      </c>
      <c r="W19" s="49">
        <f>SUMIFS(BOOTHPLC,BOOTHPLD,"&gt;="&amp;BPJUN,BOOTHPLD,"&lt;="&amp;EOMONTH(BPJUN,0))</f>
        <v>0</v>
      </c>
      <c r="X19" s="13"/>
      <c r="Y19" s="224" t="s">
        <v>14</v>
      </c>
      <c r="Z19" s="19">
        <f>SUMIFS(BOOTHACC,BOOTHDAP,"&gt;="&amp;BPJUN,BOOTHDAP,"&lt;="&amp;EOMONTH(BPJUN,0))</f>
        <v>0</v>
      </c>
      <c r="AA19" s="145"/>
      <c r="AB19" s="35">
        <f>AD11*150%</f>
        <v>2.573131094257855E-2</v>
      </c>
      <c r="AC19" s="36">
        <f>AB19/2</f>
        <v>1.2865655471289275E-2</v>
      </c>
      <c r="AD19" s="37">
        <f>AC19-0.01%</f>
        <v>1.2765655471289276E-2</v>
      </c>
    </row>
    <row r="20" spans="1:30" ht="15.75" thickBot="1" x14ac:dyDescent="0.3">
      <c r="A20" s="421" t="str">
        <f>IFERROR(VLOOKUP(D20,'JONS-ADPLANNING'!$G$3:$K$44,4),"")</f>
        <v/>
      </c>
      <c r="B20" s="421" t="str">
        <f>IFERROR(VLOOKUP($D20,HELPER!$A$1:$B$42,2,FALSE),"")</f>
        <v/>
      </c>
      <c r="C20" s="4"/>
      <c r="D20" s="4"/>
      <c r="E20" s="4"/>
      <c r="F20" s="92"/>
      <c r="G20" s="6"/>
      <c r="H20" s="5"/>
      <c r="I20" s="5"/>
      <c r="J20" s="6"/>
      <c r="K20" s="9"/>
      <c r="L20" s="6"/>
      <c r="M20" s="406" t="str">
        <f t="shared" si="0"/>
        <v/>
      </c>
      <c r="N20" s="53" t="str">
        <f t="shared" si="4"/>
        <v/>
      </c>
      <c r="O20" s="53">
        <f t="shared" si="1"/>
        <v>-0.01</v>
      </c>
      <c r="P20" s="53">
        <f t="shared" si="2"/>
        <v>0</v>
      </c>
      <c r="Q20" s="53">
        <f t="shared" si="3"/>
        <v>0</v>
      </c>
      <c r="R20" s="8"/>
      <c r="S20" s="6"/>
      <c r="T20" s="6"/>
      <c r="V20" s="217">
        <f>DATE(($V$2),7,1)</f>
        <v>44743</v>
      </c>
      <c r="W20" s="49">
        <f>SUMIFS(BOOTHPLC,BOOTHPLD,"&gt;="&amp;BPJUL,BOOTHPLD,"&lt;="&amp;EOMONTH(BPJUL,0))</f>
        <v>0</v>
      </c>
      <c r="X20" s="13"/>
      <c r="Y20" s="224" t="s">
        <v>15</v>
      </c>
      <c r="Z20" s="19">
        <f>SUMIFS(BOOTHACC,BOOTHDAP,"&gt;="&amp;BPJUL,BOOTHDAP,"&lt;="&amp;EOMONTH(BPJUL,0))</f>
        <v>0</v>
      </c>
      <c r="AA20" s="145"/>
      <c r="AB20" s="215"/>
      <c r="AC20" s="13"/>
      <c r="AD20" s="216"/>
    </row>
    <row r="21" spans="1:30" x14ac:dyDescent="0.25">
      <c r="A21" s="421" t="str">
        <f>IFERROR(VLOOKUP(D21,'JONS-ADPLANNING'!$G$3:$K$44,4),"")</f>
        <v/>
      </c>
      <c r="B21" s="421" t="str">
        <f>IFERROR(VLOOKUP($D21,HELPER!$A$1:$B$42,2,FALSE),"")</f>
        <v/>
      </c>
      <c r="C21" s="4"/>
      <c r="D21" s="4"/>
      <c r="E21" s="4"/>
      <c r="F21" s="92"/>
      <c r="G21" s="6"/>
      <c r="H21" s="5"/>
      <c r="I21" s="5"/>
      <c r="J21" s="6"/>
      <c r="K21" s="9"/>
      <c r="L21" s="6"/>
      <c r="M21" s="406" t="str">
        <f t="shared" si="0"/>
        <v/>
      </c>
      <c r="N21" s="53" t="str">
        <f t="shared" si="4"/>
        <v/>
      </c>
      <c r="O21" s="53">
        <f t="shared" si="1"/>
        <v>-0.01</v>
      </c>
      <c r="P21" s="53">
        <f t="shared" si="2"/>
        <v>0</v>
      </c>
      <c r="Q21" s="53">
        <f t="shared" si="3"/>
        <v>0</v>
      </c>
      <c r="R21" s="8"/>
      <c r="S21" s="6"/>
      <c r="T21" s="6"/>
      <c r="V21" s="217">
        <f>DATE(($V$2),8,1)</f>
        <v>44774</v>
      </c>
      <c r="W21" s="49">
        <f>SUMIFS(BOOTHPLC,BOOTHPLD,"&gt;="&amp;BPAUG,BOOTHPLD,"&lt;="&amp;EOMONTH(BPAUG,0))</f>
        <v>0</v>
      </c>
      <c r="X21" s="13"/>
      <c r="Y21" s="224" t="s">
        <v>16</v>
      </c>
      <c r="Z21" s="19">
        <f>SUMIFS(BOOTHACC,BOOTHDAP,"&gt;="&amp;BPAUG,BOOTHDAP,"&lt;="&amp;EOMONTH(BPAUG,0))</f>
        <v>0</v>
      </c>
      <c r="AA21" s="145"/>
      <c r="AB21" s="39" t="s">
        <v>34</v>
      </c>
      <c r="AC21" s="40" t="s">
        <v>35</v>
      </c>
      <c r="AD21" s="41" t="s">
        <v>36</v>
      </c>
    </row>
    <row r="22" spans="1:30" ht="15.75" thickBot="1" x14ac:dyDescent="0.3">
      <c r="A22" s="421" t="str">
        <f>IFERROR(VLOOKUP(D22,'JONS-ADPLANNING'!$G$3:$K$44,4),"")</f>
        <v/>
      </c>
      <c r="B22" s="421" t="str">
        <f>IFERROR(VLOOKUP($D22,HELPER!$A$1:$B$42,2,FALSE),"")</f>
        <v/>
      </c>
      <c r="C22" s="4"/>
      <c r="D22" s="4"/>
      <c r="E22" s="4"/>
      <c r="F22" s="92"/>
      <c r="G22" s="6"/>
      <c r="H22" s="5"/>
      <c r="I22" s="5"/>
      <c r="J22" s="6"/>
      <c r="K22" s="9"/>
      <c r="L22" s="6"/>
      <c r="M22" s="406" t="str">
        <f t="shared" si="0"/>
        <v/>
      </c>
      <c r="N22" s="53" t="str">
        <f t="shared" si="4"/>
        <v/>
      </c>
      <c r="O22" s="53">
        <f t="shared" si="1"/>
        <v>-0.01</v>
      </c>
      <c r="P22" s="53">
        <f t="shared" si="2"/>
        <v>0</v>
      </c>
      <c r="Q22" s="53">
        <f t="shared" si="3"/>
        <v>0</v>
      </c>
      <c r="R22" s="8"/>
      <c r="S22" s="6"/>
      <c r="T22" s="6"/>
      <c r="V22" s="217">
        <f>DATE(($V$2),9,1)</f>
        <v>44805</v>
      </c>
      <c r="W22" s="49">
        <f>SUMIFS(BOOTHPLC,BOOTHPLD,"&gt;="&amp;BPSEP,BOOTHPLD,"&lt;="&amp;EOMONTH(BPSEP,0))</f>
        <v>0</v>
      </c>
      <c r="X22" s="13"/>
      <c r="Y22" s="346" t="s">
        <v>17</v>
      </c>
      <c r="Z22" s="19">
        <f>SUMIFS(BOOTHACC,BOOTHDAP,"&gt;="&amp;BPSEP,BOOTHDAP,"&lt;="&amp;EOMONTH(BPSEP,0))</f>
        <v>0</v>
      </c>
      <c r="AA22" s="145"/>
      <c r="AB22" s="211">
        <v>200</v>
      </c>
      <c r="AC22" s="212">
        <v>3</v>
      </c>
      <c r="AD22" s="42">
        <f>AB22/AC22</f>
        <v>66.666666666666671</v>
      </c>
    </row>
    <row r="23" spans="1:30" ht="15.75" thickBot="1" x14ac:dyDescent="0.3">
      <c r="A23" s="421" t="str">
        <f>IFERROR(VLOOKUP(D23,'JONS-ADPLANNING'!$G$3:$K$44,4),"")</f>
        <v/>
      </c>
      <c r="B23" s="421" t="str">
        <f>IFERROR(VLOOKUP($D23,HELPER!$A$1:$B$42,2,FALSE),"")</f>
        <v/>
      </c>
      <c r="C23" s="4"/>
      <c r="D23" s="4"/>
      <c r="E23" s="4"/>
      <c r="F23" s="92"/>
      <c r="G23" s="6"/>
      <c r="H23" s="5"/>
      <c r="I23" s="5"/>
      <c r="J23" s="6"/>
      <c r="K23" s="9"/>
      <c r="L23" s="6"/>
      <c r="M23" s="406" t="str">
        <f t="shared" si="0"/>
        <v/>
      </c>
      <c r="N23" s="53" t="str">
        <f t="shared" si="4"/>
        <v/>
      </c>
      <c r="O23" s="53">
        <f t="shared" si="1"/>
        <v>-0.01</v>
      </c>
      <c r="P23" s="53">
        <f t="shared" si="2"/>
        <v>0</v>
      </c>
      <c r="Q23" s="53">
        <f t="shared" si="3"/>
        <v>0</v>
      </c>
      <c r="R23" s="6"/>
      <c r="S23" s="8"/>
      <c r="T23" s="8"/>
      <c r="V23" s="27" t="s">
        <v>6</v>
      </c>
      <c r="W23" s="28">
        <f>SUM(W11:W22)</f>
        <v>0</v>
      </c>
      <c r="X23" s="38"/>
      <c r="Y23" s="29" t="s">
        <v>6</v>
      </c>
      <c r="Z23" s="30">
        <f>SUM(Z11:Z22)</f>
        <v>0</v>
      </c>
      <c r="AA23" s="145"/>
    </row>
    <row r="24" spans="1:30" x14ac:dyDescent="0.25">
      <c r="A24" s="421" t="str">
        <f>IFERROR(VLOOKUP(D24,'JONS-ADPLANNING'!$G$3:$K$44,4),"")</f>
        <v/>
      </c>
      <c r="B24" s="421" t="str">
        <f>IFERROR(VLOOKUP($D24,HELPER!$A$1:$B$42,2,FALSE),"")</f>
        <v/>
      </c>
      <c r="C24" s="4"/>
      <c r="D24" s="4"/>
      <c r="E24" s="4"/>
      <c r="F24" s="92"/>
      <c r="G24" s="6"/>
      <c r="H24" s="5"/>
      <c r="I24" s="5"/>
      <c r="J24" s="6"/>
      <c r="K24" s="9"/>
      <c r="L24" s="6"/>
      <c r="M24" s="406" t="str">
        <f t="shared" si="0"/>
        <v/>
      </c>
      <c r="N24" s="53" t="str">
        <f t="shared" si="4"/>
        <v/>
      </c>
      <c r="O24" s="53">
        <f t="shared" si="1"/>
        <v>-0.01</v>
      </c>
      <c r="P24" s="53">
        <f t="shared" si="2"/>
        <v>0</v>
      </c>
      <c r="Q24" s="53">
        <f t="shared" si="3"/>
        <v>0</v>
      </c>
      <c r="R24" s="6"/>
      <c r="S24" s="8"/>
      <c r="T24" s="8"/>
    </row>
    <row r="25" spans="1:30" x14ac:dyDescent="0.25">
      <c r="A25" s="421" t="str">
        <f>IFERROR(VLOOKUP(D25,'JONS-ADPLANNING'!$G$3:$K$44,4),"")</f>
        <v/>
      </c>
      <c r="B25" s="421" t="str">
        <f>IFERROR(VLOOKUP($D25,HELPER!$A$1:$B$42,2,FALSE),"")</f>
        <v/>
      </c>
      <c r="C25" s="4"/>
      <c r="D25" s="4"/>
      <c r="E25" s="4"/>
      <c r="F25" s="112"/>
      <c r="G25" s="6"/>
      <c r="H25" s="5"/>
      <c r="I25" s="5"/>
      <c r="J25" s="6"/>
      <c r="K25" s="56"/>
      <c r="L25" s="7"/>
      <c r="M25" s="406" t="str">
        <f t="shared" si="0"/>
        <v/>
      </c>
      <c r="N25" s="53" t="str">
        <f t="shared" si="4"/>
        <v/>
      </c>
      <c r="O25" s="53">
        <f t="shared" si="1"/>
        <v>-0.01</v>
      </c>
      <c r="P25" s="53">
        <f t="shared" si="2"/>
        <v>0</v>
      </c>
      <c r="Q25" s="53">
        <f t="shared" si="3"/>
        <v>0</v>
      </c>
      <c r="R25" s="8"/>
      <c r="S25" s="8"/>
      <c r="T25" s="8"/>
      <c r="AB25" s="17"/>
    </row>
    <row r="26" spans="1:30" x14ac:dyDescent="0.25">
      <c r="A26" s="421" t="str">
        <f>IFERROR(VLOOKUP(D26,'JONS-ADPLANNING'!$G$3:$K$44,4),"")</f>
        <v/>
      </c>
      <c r="B26" s="421" t="str">
        <f>IFERROR(VLOOKUP($D26,HELPER!$A$1:$B$42,2,FALSE),"")</f>
        <v/>
      </c>
      <c r="C26" s="4"/>
      <c r="D26" s="4"/>
      <c r="E26" s="4"/>
      <c r="F26" s="92"/>
      <c r="G26" s="6"/>
      <c r="H26" s="5"/>
      <c r="I26" s="5"/>
      <c r="J26" s="6"/>
      <c r="K26" s="9"/>
      <c r="L26" s="6"/>
      <c r="M26" s="406" t="str">
        <f t="shared" si="0"/>
        <v/>
      </c>
      <c r="N26" s="53" t="str">
        <f t="shared" si="4"/>
        <v/>
      </c>
      <c r="O26" s="53">
        <f t="shared" si="1"/>
        <v>-0.01</v>
      </c>
      <c r="P26" s="53">
        <f t="shared" si="2"/>
        <v>0</v>
      </c>
      <c r="Q26" s="53">
        <f t="shared" si="3"/>
        <v>0</v>
      </c>
      <c r="R26" s="8"/>
      <c r="S26" s="6"/>
      <c r="T26" s="6"/>
      <c r="AB26" s="17"/>
      <c r="AD26" s="51"/>
    </row>
    <row r="27" spans="1:30" x14ac:dyDescent="0.25">
      <c r="A27" s="421" t="str">
        <f>IFERROR(VLOOKUP(D27,'JONS-ADPLANNING'!$G$3:$K$44,4),"")</f>
        <v/>
      </c>
      <c r="B27" s="421" t="str">
        <f>IFERROR(VLOOKUP($D27,HELPER!$A$1:$B$42,2,FALSE),"")</f>
        <v/>
      </c>
      <c r="C27" s="4"/>
      <c r="D27" s="4"/>
      <c r="E27" s="4"/>
      <c r="F27" s="92"/>
      <c r="G27" s="6"/>
      <c r="H27" s="5"/>
      <c r="I27" s="5"/>
      <c r="J27" s="6"/>
      <c r="K27" s="9"/>
      <c r="L27" s="6"/>
      <c r="M27" s="406" t="str">
        <f t="shared" si="0"/>
        <v/>
      </c>
      <c r="N27" s="53" t="str">
        <f t="shared" si="4"/>
        <v/>
      </c>
      <c r="O27" s="53">
        <f t="shared" si="1"/>
        <v>-0.01</v>
      </c>
      <c r="P27" s="53">
        <f t="shared" si="2"/>
        <v>0</v>
      </c>
      <c r="Q27" s="53">
        <f t="shared" si="3"/>
        <v>0</v>
      </c>
      <c r="R27" s="8"/>
      <c r="S27" s="6"/>
      <c r="T27" s="6"/>
      <c r="AB27" s="17"/>
    </row>
    <row r="28" spans="1:30" x14ac:dyDescent="0.25">
      <c r="A28" s="421" t="str">
        <f>IFERROR(VLOOKUP(D28,'JONS-ADPLANNING'!$G$3:$K$44,4),"")</f>
        <v/>
      </c>
      <c r="B28" s="421" t="str">
        <f>IFERROR(VLOOKUP($D28,HELPER!$A$1:$B$42,2,FALSE),"")</f>
        <v/>
      </c>
      <c r="C28" s="4"/>
      <c r="D28" s="4"/>
      <c r="E28" s="4"/>
      <c r="F28" s="92"/>
      <c r="G28" s="6"/>
      <c r="H28" s="5"/>
      <c r="I28" s="5"/>
      <c r="J28" s="6"/>
      <c r="K28" s="9"/>
      <c r="L28" s="6"/>
      <c r="M28" s="406" t="str">
        <f t="shared" si="0"/>
        <v/>
      </c>
      <c r="N28" s="53" t="str">
        <f t="shared" si="4"/>
        <v/>
      </c>
      <c r="O28" s="53">
        <f t="shared" si="1"/>
        <v>-0.01</v>
      </c>
      <c r="P28" s="53">
        <f t="shared" si="2"/>
        <v>0</v>
      </c>
      <c r="Q28" s="53">
        <f t="shared" si="3"/>
        <v>0</v>
      </c>
      <c r="R28" s="8"/>
      <c r="S28" s="6"/>
      <c r="T28" s="6"/>
      <c r="AB28" s="17"/>
    </row>
    <row r="29" spans="1:30" x14ac:dyDescent="0.25">
      <c r="A29" s="421" t="str">
        <f>IFERROR(VLOOKUP(D29,'JONS-ADPLANNING'!$G$3:$K$44,4),"")</f>
        <v/>
      </c>
      <c r="B29" s="421" t="str">
        <f>IFERROR(VLOOKUP($D29,HELPER!$A$1:$B$42,2,FALSE),"")</f>
        <v/>
      </c>
      <c r="C29" s="4"/>
      <c r="D29" s="4"/>
      <c r="E29" s="4"/>
      <c r="F29" s="112"/>
      <c r="G29" s="6"/>
      <c r="H29" s="5"/>
      <c r="I29" s="5"/>
      <c r="J29" s="6"/>
      <c r="K29" s="56"/>
      <c r="L29" s="7"/>
      <c r="M29" s="406" t="str">
        <f t="shared" si="0"/>
        <v/>
      </c>
      <c r="N29" s="53" t="str">
        <f t="shared" si="4"/>
        <v/>
      </c>
      <c r="O29" s="53">
        <f t="shared" si="1"/>
        <v>-0.01</v>
      </c>
      <c r="P29" s="53">
        <f t="shared" si="2"/>
        <v>0</v>
      </c>
      <c r="Q29" s="53">
        <f t="shared" si="3"/>
        <v>0</v>
      </c>
      <c r="R29" s="8"/>
      <c r="S29" s="8"/>
      <c r="T29" s="8"/>
    </row>
    <row r="30" spans="1:30" x14ac:dyDescent="0.25">
      <c r="A30" s="421" t="str">
        <f>IFERROR(VLOOKUP(D30,'JONS-ADPLANNING'!$G$3:$K$44,4),"")</f>
        <v/>
      </c>
      <c r="B30" s="421" t="str">
        <f>IFERROR(VLOOKUP($D30,HELPER!$A$1:$B$42,2,FALSE),"")</f>
        <v/>
      </c>
      <c r="C30" s="4"/>
      <c r="D30" s="4"/>
      <c r="E30" s="4"/>
      <c r="F30" s="92"/>
      <c r="G30" s="6"/>
      <c r="H30" s="5"/>
      <c r="I30" s="5"/>
      <c r="J30" s="6"/>
      <c r="K30" s="9"/>
      <c r="L30" s="6"/>
      <c r="M30" s="406" t="str">
        <f t="shared" si="0"/>
        <v/>
      </c>
      <c r="N30" s="53" t="str">
        <f t="shared" si="4"/>
        <v/>
      </c>
      <c r="O30" s="53">
        <f t="shared" si="1"/>
        <v>-0.01</v>
      </c>
      <c r="P30" s="53">
        <f t="shared" si="2"/>
        <v>0</v>
      </c>
      <c r="Q30" s="53">
        <f t="shared" si="3"/>
        <v>0</v>
      </c>
      <c r="R30" s="6"/>
      <c r="S30" s="6"/>
      <c r="T30" s="8"/>
    </row>
    <row r="31" spans="1:30" x14ac:dyDescent="0.25">
      <c r="A31" s="421" t="str">
        <f>IFERROR(VLOOKUP(D31,'JONS-ADPLANNING'!$G$3:$K$44,4),"")</f>
        <v/>
      </c>
      <c r="B31" s="421" t="str">
        <f>IFERROR(VLOOKUP($D31,HELPER!$A$1:$B$42,2,FALSE),"")</f>
        <v/>
      </c>
      <c r="C31" s="4"/>
      <c r="D31" s="4"/>
      <c r="E31" s="4"/>
      <c r="F31" s="92"/>
      <c r="G31" s="6"/>
      <c r="H31" s="5"/>
      <c r="I31" s="5"/>
      <c r="J31" s="6"/>
      <c r="K31" s="9"/>
      <c r="L31" s="6"/>
      <c r="M31" s="406" t="str">
        <f t="shared" si="0"/>
        <v/>
      </c>
      <c r="N31" s="53" t="str">
        <f t="shared" si="4"/>
        <v/>
      </c>
      <c r="O31" s="53">
        <f t="shared" si="1"/>
        <v>-0.01</v>
      </c>
      <c r="P31" s="53">
        <f t="shared" si="2"/>
        <v>0</v>
      </c>
      <c r="Q31" s="53">
        <f t="shared" si="3"/>
        <v>0</v>
      </c>
      <c r="R31" s="8"/>
      <c r="S31" s="8"/>
      <c r="T31" s="6"/>
    </row>
    <row r="32" spans="1:30" x14ac:dyDescent="0.25">
      <c r="A32" s="421" t="str">
        <f>IFERROR(VLOOKUP(D32,'JONS-ADPLANNING'!$G$3:$K$44,4),"")</f>
        <v/>
      </c>
      <c r="B32" s="421" t="str">
        <f>IFERROR(VLOOKUP($D32,HELPER!$A$1:$B$42,2,FALSE),"")</f>
        <v/>
      </c>
      <c r="C32" s="4"/>
      <c r="D32" s="4"/>
      <c r="E32" s="4"/>
      <c r="F32" s="92"/>
      <c r="G32" s="6"/>
      <c r="H32" s="5"/>
      <c r="I32" s="5"/>
      <c r="J32" s="6"/>
      <c r="K32" s="9"/>
      <c r="L32" s="6"/>
      <c r="M32" s="406" t="str">
        <f t="shared" si="0"/>
        <v/>
      </c>
      <c r="N32" s="53" t="str">
        <f t="shared" si="4"/>
        <v/>
      </c>
      <c r="O32" s="53">
        <f t="shared" si="1"/>
        <v>-0.01</v>
      </c>
      <c r="P32" s="53">
        <f t="shared" si="2"/>
        <v>0</v>
      </c>
      <c r="Q32" s="53">
        <f t="shared" si="3"/>
        <v>0</v>
      </c>
      <c r="R32" s="8"/>
      <c r="S32" s="6"/>
      <c r="T32" s="6"/>
    </row>
    <row r="33" spans="1:20" x14ac:dyDescent="0.25">
      <c r="A33" s="421" t="str">
        <f>IFERROR(VLOOKUP(D33,'JONS-ADPLANNING'!$G$3:$K$44,4),"")</f>
        <v/>
      </c>
      <c r="B33" s="421" t="str">
        <f>IFERROR(VLOOKUP($D33,HELPER!$A$1:$B$42,2,FALSE),"")</f>
        <v/>
      </c>
      <c r="C33" s="4"/>
      <c r="D33" s="4"/>
      <c r="E33" s="4"/>
      <c r="F33" s="92"/>
      <c r="G33" s="6"/>
      <c r="H33" s="5"/>
      <c r="I33" s="5"/>
      <c r="J33" s="6"/>
      <c r="K33" s="9"/>
      <c r="L33" s="6"/>
      <c r="M33" s="406" t="str">
        <f t="shared" si="0"/>
        <v/>
      </c>
      <c r="N33" s="53" t="str">
        <f t="shared" si="4"/>
        <v/>
      </c>
      <c r="O33" s="53">
        <f t="shared" si="1"/>
        <v>-0.01</v>
      </c>
      <c r="P33" s="53">
        <f t="shared" si="2"/>
        <v>0</v>
      </c>
      <c r="Q33" s="53">
        <f t="shared" si="3"/>
        <v>0</v>
      </c>
      <c r="R33" s="8"/>
      <c r="S33" s="6"/>
      <c r="T33" s="6"/>
    </row>
    <row r="34" spans="1:20" ht="15" customHeight="1" x14ac:dyDescent="0.25">
      <c r="A34" s="421" t="str">
        <f>IFERROR(VLOOKUP(D34,'JONS-ADPLANNING'!$G$3:$K$44,4),"")</f>
        <v/>
      </c>
      <c r="B34" s="421" t="str">
        <f>IFERROR(VLOOKUP($D34,HELPER!$A$1:$B$42,2,FALSE),"")</f>
        <v/>
      </c>
      <c r="C34" s="4"/>
      <c r="D34" s="4"/>
      <c r="E34" s="4"/>
      <c r="F34" s="112"/>
      <c r="G34" s="6"/>
      <c r="H34" s="5"/>
      <c r="I34" s="5"/>
      <c r="J34" s="6"/>
      <c r="K34" s="56"/>
      <c r="L34" s="7"/>
      <c r="M34" s="406" t="str">
        <f t="shared" ref="M34:M65" si="5">IF(ISBLANK(BOOTHACC),"",IFERROR(BOOTHACC/K34,0))</f>
        <v/>
      </c>
      <c r="N34" s="53" t="str">
        <f t="shared" si="4"/>
        <v/>
      </c>
      <c r="O34" s="53">
        <f t="shared" ref="O34:O65" si="6">P34-0.01</f>
        <v>-0.01</v>
      </c>
      <c r="P34" s="53">
        <f t="shared" ref="P34:P65" si="7">Q34/2</f>
        <v>0</v>
      </c>
      <c r="Q34" s="53">
        <f t="shared" ref="Q34:Q65" si="8">L34*150%</f>
        <v>0</v>
      </c>
      <c r="R34" s="8"/>
      <c r="S34" s="8"/>
      <c r="T34" s="8"/>
    </row>
    <row r="35" spans="1:20" x14ac:dyDescent="0.25">
      <c r="A35" s="421" t="str">
        <f>IFERROR(VLOOKUP(D35,'JONS-ADPLANNING'!$G$3:$K$44,4),"")</f>
        <v/>
      </c>
      <c r="B35" s="421" t="str">
        <f>IFERROR(VLOOKUP($D35,HELPER!$A$1:$B$42,2,FALSE),"")</f>
        <v/>
      </c>
      <c r="C35" s="4"/>
      <c r="D35" s="4"/>
      <c r="E35" s="4"/>
      <c r="F35" s="112"/>
      <c r="G35" s="6"/>
      <c r="H35" s="5"/>
      <c r="I35" s="5"/>
      <c r="J35" s="6"/>
      <c r="K35" s="56"/>
      <c r="L35" s="7"/>
      <c r="M35" s="406" t="str">
        <f t="shared" si="5"/>
        <v/>
      </c>
      <c r="N35" s="53" t="str">
        <f t="shared" si="4"/>
        <v/>
      </c>
      <c r="O35" s="53">
        <f t="shared" si="6"/>
        <v>-0.01</v>
      </c>
      <c r="P35" s="53">
        <f t="shared" si="7"/>
        <v>0</v>
      </c>
      <c r="Q35" s="53">
        <f t="shared" si="8"/>
        <v>0</v>
      </c>
      <c r="R35" s="6"/>
      <c r="S35" s="8"/>
      <c r="T35" s="8"/>
    </row>
    <row r="36" spans="1:20" x14ac:dyDescent="0.25">
      <c r="A36" s="421" t="str">
        <f>IFERROR(VLOOKUP(D36,'JONS-ADPLANNING'!$G$3:$K$44,4),"")</f>
        <v/>
      </c>
      <c r="B36" s="421" t="str">
        <f>IFERROR(VLOOKUP($D36,HELPER!$A$1:$B$42,2,FALSE),"")</f>
        <v/>
      </c>
      <c r="C36" s="4"/>
      <c r="D36" s="4"/>
      <c r="E36" s="4"/>
      <c r="F36" s="92"/>
      <c r="G36" s="6"/>
      <c r="H36" s="5"/>
      <c r="I36" s="5"/>
      <c r="J36" s="6"/>
      <c r="K36" s="9"/>
      <c r="L36" s="6"/>
      <c r="M36" s="406" t="str">
        <f t="shared" si="5"/>
        <v/>
      </c>
      <c r="N36" s="53" t="str">
        <f t="shared" si="4"/>
        <v/>
      </c>
      <c r="O36" s="53">
        <f t="shared" si="6"/>
        <v>-0.01</v>
      </c>
      <c r="P36" s="53">
        <f t="shared" si="7"/>
        <v>0</v>
      </c>
      <c r="Q36" s="53">
        <f t="shared" si="8"/>
        <v>0</v>
      </c>
      <c r="R36" s="6"/>
      <c r="S36" s="8"/>
      <c r="T36" s="8"/>
    </row>
    <row r="37" spans="1:20" x14ac:dyDescent="0.25">
      <c r="A37" s="421" t="str">
        <f>IFERROR(VLOOKUP(D37,'JONS-ADPLANNING'!$G$3:$K$44,4),"")</f>
        <v/>
      </c>
      <c r="B37" s="421" t="str">
        <f>IFERROR(VLOOKUP($D37,HELPER!$A$1:$B$42,2,FALSE),"")</f>
        <v/>
      </c>
      <c r="C37" s="4"/>
      <c r="D37" s="4"/>
      <c r="E37" s="4"/>
      <c r="F37" s="92"/>
      <c r="G37" s="6"/>
      <c r="H37" s="5"/>
      <c r="I37" s="5"/>
      <c r="J37" s="6"/>
      <c r="K37" s="9"/>
      <c r="L37" s="6"/>
      <c r="M37" s="406" t="str">
        <f t="shared" si="5"/>
        <v/>
      </c>
      <c r="N37" s="53" t="str">
        <f t="shared" si="4"/>
        <v/>
      </c>
      <c r="O37" s="53">
        <f t="shared" si="6"/>
        <v>-0.01</v>
      </c>
      <c r="P37" s="53">
        <f t="shared" si="7"/>
        <v>0</v>
      </c>
      <c r="Q37" s="53">
        <f t="shared" si="8"/>
        <v>0</v>
      </c>
      <c r="R37" s="6"/>
      <c r="S37" s="6"/>
      <c r="T37" s="6"/>
    </row>
    <row r="38" spans="1:20" x14ac:dyDescent="0.25">
      <c r="A38" s="421" t="str">
        <f>IFERROR(VLOOKUP(D38,'JONS-ADPLANNING'!$G$3:$K$44,4),"")</f>
        <v/>
      </c>
      <c r="B38" s="421" t="str">
        <f>IFERROR(VLOOKUP($D38,HELPER!$A$1:$B$42,2,FALSE),"")</f>
        <v/>
      </c>
      <c r="C38" s="4"/>
      <c r="D38" s="4"/>
      <c r="E38" s="4"/>
      <c r="F38" s="92"/>
      <c r="G38" s="6"/>
      <c r="H38" s="5"/>
      <c r="I38" s="5"/>
      <c r="J38" s="6"/>
      <c r="K38" s="9"/>
      <c r="L38" s="6"/>
      <c r="M38" s="406" t="str">
        <f t="shared" si="5"/>
        <v/>
      </c>
      <c r="N38" s="53" t="str">
        <f t="shared" si="4"/>
        <v/>
      </c>
      <c r="O38" s="53">
        <f t="shared" si="6"/>
        <v>-0.01</v>
      </c>
      <c r="P38" s="53">
        <f t="shared" si="7"/>
        <v>0</v>
      </c>
      <c r="Q38" s="53">
        <f t="shared" si="8"/>
        <v>0</v>
      </c>
      <c r="R38" s="8"/>
      <c r="S38" s="6"/>
      <c r="T38" s="6"/>
    </row>
    <row r="39" spans="1:20" ht="15" customHeight="1" x14ac:dyDescent="0.25">
      <c r="A39" s="421" t="str">
        <f>IFERROR(VLOOKUP(D39,'JONS-ADPLANNING'!$G$3:$K$44,4),"")</f>
        <v/>
      </c>
      <c r="B39" s="421" t="str">
        <f>IFERROR(VLOOKUP($D39,HELPER!$A$1:$B$42,2,FALSE),"")</f>
        <v/>
      </c>
      <c r="C39" s="4"/>
      <c r="D39" s="4"/>
      <c r="E39" s="4"/>
      <c r="F39" s="92"/>
      <c r="G39" s="6"/>
      <c r="H39" s="5"/>
      <c r="I39" s="5"/>
      <c r="J39" s="6"/>
      <c r="K39" s="9"/>
      <c r="L39" s="6"/>
      <c r="M39" s="406" t="str">
        <f t="shared" si="5"/>
        <v/>
      </c>
      <c r="N39" s="53" t="str">
        <f t="shared" si="4"/>
        <v/>
      </c>
      <c r="O39" s="53">
        <f t="shared" si="6"/>
        <v>-0.01</v>
      </c>
      <c r="P39" s="53">
        <f t="shared" si="7"/>
        <v>0</v>
      </c>
      <c r="Q39" s="53">
        <f t="shared" si="8"/>
        <v>0</v>
      </c>
      <c r="R39" s="6"/>
      <c r="S39" s="8"/>
      <c r="T39" s="8"/>
    </row>
    <row r="40" spans="1:20" x14ac:dyDescent="0.25">
      <c r="A40" s="421" t="str">
        <f>IFERROR(VLOOKUP(D40,'JONS-ADPLANNING'!$G$3:$K$44,4),"")</f>
        <v/>
      </c>
      <c r="B40" s="421" t="str">
        <f>IFERROR(VLOOKUP($D40,HELPER!$A$1:$B$42,2,FALSE),"")</f>
        <v/>
      </c>
      <c r="C40" s="4"/>
      <c r="D40" s="4"/>
      <c r="E40" s="4"/>
      <c r="F40" s="112"/>
      <c r="G40" s="6"/>
      <c r="H40" s="5"/>
      <c r="I40" s="5"/>
      <c r="J40" s="6"/>
      <c r="K40" s="56"/>
      <c r="L40" s="7"/>
      <c r="M40" s="406" t="str">
        <f t="shared" si="5"/>
        <v/>
      </c>
      <c r="N40" s="53" t="str">
        <f t="shared" si="4"/>
        <v/>
      </c>
      <c r="O40" s="53">
        <f t="shared" si="6"/>
        <v>-0.01</v>
      </c>
      <c r="P40" s="53">
        <f t="shared" si="7"/>
        <v>0</v>
      </c>
      <c r="Q40" s="53">
        <f t="shared" si="8"/>
        <v>0</v>
      </c>
      <c r="R40" s="8"/>
      <c r="S40" s="8"/>
      <c r="T40" s="8"/>
    </row>
    <row r="41" spans="1:20" x14ac:dyDescent="0.25">
      <c r="A41" s="421" t="str">
        <f>IFERROR(VLOOKUP(D41,'JONS-ADPLANNING'!$G$3:$K$44,4),"")</f>
        <v/>
      </c>
      <c r="B41" s="421" t="str">
        <f>IFERROR(VLOOKUP($D41,HELPER!$A$1:$B$42,2,FALSE),"")</f>
        <v/>
      </c>
      <c r="C41" s="4"/>
      <c r="D41" s="4"/>
      <c r="E41" s="4"/>
      <c r="F41" s="112"/>
      <c r="G41" s="6"/>
      <c r="H41" s="5"/>
      <c r="I41" s="5"/>
      <c r="J41" s="6"/>
      <c r="K41" s="56"/>
      <c r="L41" s="7"/>
      <c r="M41" s="406" t="str">
        <f t="shared" si="5"/>
        <v/>
      </c>
      <c r="N41" s="53" t="str">
        <f t="shared" si="4"/>
        <v/>
      </c>
      <c r="O41" s="53">
        <f t="shared" si="6"/>
        <v>-0.01</v>
      </c>
      <c r="P41" s="53">
        <f t="shared" si="7"/>
        <v>0</v>
      </c>
      <c r="Q41" s="53">
        <f t="shared" si="8"/>
        <v>0</v>
      </c>
      <c r="R41" s="8"/>
      <c r="S41" s="8"/>
      <c r="T41" s="8"/>
    </row>
    <row r="42" spans="1:20" x14ac:dyDescent="0.25">
      <c r="A42" s="421" t="str">
        <f>IFERROR(VLOOKUP(D42,'JONS-ADPLANNING'!$G$3:$K$44,4),"")</f>
        <v/>
      </c>
      <c r="B42" s="421" t="str">
        <f>IFERROR(VLOOKUP($D42,HELPER!$A$1:$B$42,2,FALSE),"")</f>
        <v/>
      </c>
      <c r="C42" s="4"/>
      <c r="D42" s="4"/>
      <c r="E42" s="4"/>
      <c r="F42" s="92"/>
      <c r="G42" s="6"/>
      <c r="H42" s="5"/>
      <c r="I42" s="5"/>
      <c r="J42" s="6"/>
      <c r="K42" s="9"/>
      <c r="L42" s="6"/>
      <c r="M42" s="406" t="str">
        <f t="shared" si="5"/>
        <v/>
      </c>
      <c r="N42" s="53" t="str">
        <f t="shared" si="4"/>
        <v/>
      </c>
      <c r="O42" s="53">
        <f t="shared" si="6"/>
        <v>-0.01</v>
      </c>
      <c r="P42" s="53">
        <f t="shared" si="7"/>
        <v>0</v>
      </c>
      <c r="Q42" s="53">
        <f t="shared" si="8"/>
        <v>0</v>
      </c>
      <c r="R42" s="6"/>
      <c r="S42" s="6"/>
      <c r="T42" s="8"/>
    </row>
    <row r="43" spans="1:20" x14ac:dyDescent="0.25">
      <c r="A43" s="421" t="str">
        <f>IFERROR(VLOOKUP(D43,'JONS-ADPLANNING'!$G$3:$K$44,4),"")</f>
        <v/>
      </c>
      <c r="B43" s="421" t="str">
        <f>IFERROR(VLOOKUP($D43,HELPER!$A$1:$B$42,2,FALSE),"")</f>
        <v/>
      </c>
      <c r="C43" s="4"/>
      <c r="D43" s="4"/>
      <c r="E43" s="4"/>
      <c r="F43" s="92"/>
      <c r="G43" s="6"/>
      <c r="H43" s="5"/>
      <c r="I43" s="5"/>
      <c r="J43" s="6"/>
      <c r="K43" s="9"/>
      <c r="L43" s="6"/>
      <c r="M43" s="406" t="str">
        <f t="shared" si="5"/>
        <v/>
      </c>
      <c r="N43" s="53" t="str">
        <f t="shared" si="4"/>
        <v/>
      </c>
      <c r="O43" s="53">
        <f t="shared" si="6"/>
        <v>-0.01</v>
      </c>
      <c r="P43" s="53">
        <f t="shared" si="7"/>
        <v>0</v>
      </c>
      <c r="Q43" s="53">
        <f t="shared" si="8"/>
        <v>0</v>
      </c>
      <c r="R43" s="8"/>
      <c r="S43" s="6"/>
      <c r="T43" s="6"/>
    </row>
    <row r="44" spans="1:20" x14ac:dyDescent="0.25">
      <c r="A44" s="421" t="str">
        <f>IFERROR(VLOOKUP(D44,'JONS-ADPLANNING'!$G$3:$K$44,4),"")</f>
        <v/>
      </c>
      <c r="B44" s="421" t="str">
        <f>IFERROR(VLOOKUP($D44,HELPER!$A$1:$B$42,2,FALSE),"")</f>
        <v/>
      </c>
      <c r="C44" s="4"/>
      <c r="D44" s="4"/>
      <c r="E44" s="4"/>
      <c r="F44" s="92"/>
      <c r="G44" s="6"/>
      <c r="H44" s="5"/>
      <c r="I44" s="5"/>
      <c r="J44" s="6"/>
      <c r="K44" s="9"/>
      <c r="L44" s="6"/>
      <c r="M44" s="406" t="str">
        <f t="shared" si="5"/>
        <v/>
      </c>
      <c r="N44" s="53" t="str">
        <f t="shared" si="4"/>
        <v/>
      </c>
      <c r="O44" s="53">
        <f t="shared" si="6"/>
        <v>-0.01</v>
      </c>
      <c r="P44" s="53">
        <f t="shared" si="7"/>
        <v>0</v>
      </c>
      <c r="Q44" s="53">
        <f t="shared" si="8"/>
        <v>0</v>
      </c>
      <c r="R44" s="6"/>
      <c r="S44" s="9"/>
      <c r="T44" s="8"/>
    </row>
    <row r="45" spans="1:20" x14ac:dyDescent="0.25">
      <c r="A45" s="421" t="str">
        <f>IFERROR(VLOOKUP(D45,'JONS-ADPLANNING'!$G$3:$K$44,4),"")</f>
        <v/>
      </c>
      <c r="B45" s="421" t="str">
        <f>IFERROR(VLOOKUP($D45,HELPER!$A$1:$B$42,2,FALSE),"")</f>
        <v/>
      </c>
      <c r="C45" s="4"/>
      <c r="D45" s="4"/>
      <c r="E45" s="4"/>
      <c r="F45" s="92"/>
      <c r="G45" s="6"/>
      <c r="H45" s="5"/>
      <c r="I45" s="5"/>
      <c r="J45" s="6"/>
      <c r="K45" s="9"/>
      <c r="L45" s="6"/>
      <c r="M45" s="406" t="str">
        <f t="shared" si="5"/>
        <v/>
      </c>
      <c r="N45" s="53" t="str">
        <f t="shared" si="4"/>
        <v/>
      </c>
      <c r="O45" s="53">
        <f t="shared" si="6"/>
        <v>-0.01</v>
      </c>
      <c r="P45" s="53">
        <f t="shared" si="7"/>
        <v>0</v>
      </c>
      <c r="Q45" s="53">
        <f t="shared" si="8"/>
        <v>0</v>
      </c>
      <c r="R45" s="8"/>
      <c r="S45" s="6"/>
      <c r="T45" s="6"/>
    </row>
    <row r="46" spans="1:20" x14ac:dyDescent="0.25">
      <c r="A46" s="421" t="str">
        <f>IFERROR(VLOOKUP(D46,'JONS-ADPLANNING'!$G$3:$K$44,4),"")</f>
        <v/>
      </c>
      <c r="B46" s="421" t="str">
        <f>IFERROR(VLOOKUP($D46,HELPER!$A$1:$B$42,2,FALSE),"")</f>
        <v/>
      </c>
      <c r="C46" s="4"/>
      <c r="D46" s="4"/>
      <c r="E46" s="4"/>
      <c r="F46" s="92"/>
      <c r="G46" s="6"/>
      <c r="H46" s="5"/>
      <c r="I46" s="5"/>
      <c r="J46" s="6"/>
      <c r="K46" s="9"/>
      <c r="L46" s="6"/>
      <c r="M46" s="406" t="str">
        <f t="shared" si="5"/>
        <v/>
      </c>
      <c r="N46" s="53" t="str">
        <f t="shared" si="4"/>
        <v/>
      </c>
      <c r="O46" s="53">
        <f t="shared" si="6"/>
        <v>-0.01</v>
      </c>
      <c r="P46" s="53">
        <f t="shared" si="7"/>
        <v>0</v>
      </c>
      <c r="Q46" s="53">
        <f t="shared" si="8"/>
        <v>0</v>
      </c>
      <c r="R46" s="8"/>
      <c r="S46" s="6"/>
      <c r="T46" s="6"/>
    </row>
    <row r="47" spans="1:20" x14ac:dyDescent="0.25">
      <c r="A47" s="421" t="str">
        <f>IFERROR(VLOOKUP(D47,'JONS-ADPLANNING'!$G$3:$K$44,4),"")</f>
        <v/>
      </c>
      <c r="B47" s="421" t="str">
        <f>IFERROR(VLOOKUP($D47,HELPER!$A$1:$B$42,2,FALSE),"")</f>
        <v/>
      </c>
      <c r="C47" s="4"/>
      <c r="D47" s="4"/>
      <c r="E47" s="4"/>
      <c r="F47" s="92"/>
      <c r="G47" s="6"/>
      <c r="H47" s="5"/>
      <c r="I47" s="5"/>
      <c r="J47" s="6"/>
      <c r="K47" s="9"/>
      <c r="L47" s="6"/>
      <c r="M47" s="406" t="str">
        <f t="shared" si="5"/>
        <v/>
      </c>
      <c r="N47" s="53" t="str">
        <f t="shared" si="4"/>
        <v/>
      </c>
      <c r="O47" s="53">
        <f t="shared" si="6"/>
        <v>-0.01</v>
      </c>
      <c r="P47" s="53">
        <f t="shared" si="7"/>
        <v>0</v>
      </c>
      <c r="Q47" s="53">
        <f t="shared" si="8"/>
        <v>0</v>
      </c>
      <c r="R47" s="8"/>
      <c r="S47" s="6"/>
      <c r="T47" s="6"/>
    </row>
    <row r="48" spans="1:20" x14ac:dyDescent="0.25">
      <c r="A48" s="421" t="str">
        <f>IFERROR(VLOOKUP(D48,'JONS-ADPLANNING'!$G$3:$K$44,4),"")</f>
        <v/>
      </c>
      <c r="B48" s="421" t="str">
        <f>IFERROR(VLOOKUP($D48,HELPER!$A$1:$B$42,2,FALSE),"")</f>
        <v/>
      </c>
      <c r="C48" s="4"/>
      <c r="D48" s="4"/>
      <c r="E48" s="4"/>
      <c r="F48" s="92"/>
      <c r="G48" s="6"/>
      <c r="H48" s="5"/>
      <c r="I48" s="5"/>
      <c r="J48" s="6"/>
      <c r="K48" s="9"/>
      <c r="L48" s="6"/>
      <c r="M48" s="406" t="str">
        <f t="shared" si="5"/>
        <v/>
      </c>
      <c r="N48" s="53" t="str">
        <f t="shared" si="4"/>
        <v/>
      </c>
      <c r="O48" s="53">
        <f t="shared" si="6"/>
        <v>-0.01</v>
      </c>
      <c r="P48" s="53">
        <f t="shared" si="7"/>
        <v>0</v>
      </c>
      <c r="Q48" s="53">
        <f t="shared" si="8"/>
        <v>0</v>
      </c>
      <c r="R48" s="8"/>
      <c r="S48" s="8"/>
      <c r="T48" s="8"/>
    </row>
    <row r="49" spans="1:20" x14ac:dyDescent="0.25">
      <c r="A49" s="421" t="str">
        <f>IFERROR(VLOOKUP(D49,'JONS-ADPLANNING'!$G$3:$K$44,4),"")</f>
        <v/>
      </c>
      <c r="B49" s="421" t="str">
        <f>IFERROR(VLOOKUP($D49,HELPER!$A$1:$B$42,2,FALSE),"")</f>
        <v/>
      </c>
      <c r="C49" s="4"/>
      <c r="D49" s="4"/>
      <c r="E49" s="4"/>
      <c r="F49" s="92"/>
      <c r="G49" s="6"/>
      <c r="H49" s="5"/>
      <c r="I49" s="5"/>
      <c r="J49" s="6"/>
      <c r="K49" s="9"/>
      <c r="L49" s="6"/>
      <c r="M49" s="406" t="str">
        <f t="shared" si="5"/>
        <v/>
      </c>
      <c r="N49" s="53" t="str">
        <f t="shared" si="4"/>
        <v/>
      </c>
      <c r="O49" s="53">
        <f t="shared" si="6"/>
        <v>-0.01</v>
      </c>
      <c r="P49" s="53">
        <f t="shared" si="7"/>
        <v>0</v>
      </c>
      <c r="Q49" s="53">
        <f t="shared" si="8"/>
        <v>0</v>
      </c>
      <c r="R49" s="8"/>
      <c r="S49" s="6"/>
      <c r="T49" s="6"/>
    </row>
    <row r="50" spans="1:20" x14ac:dyDescent="0.25">
      <c r="A50" s="421" t="str">
        <f>IFERROR(VLOOKUP(D50,'JONS-ADPLANNING'!$G$3:$K$44,4),"")</f>
        <v/>
      </c>
      <c r="B50" s="421" t="str">
        <f>IFERROR(VLOOKUP($D50,HELPER!$A$1:$B$42,2,FALSE),"")</f>
        <v/>
      </c>
      <c r="C50" s="4"/>
      <c r="D50" s="4"/>
      <c r="E50" s="4"/>
      <c r="F50" s="92"/>
      <c r="G50" s="6"/>
      <c r="H50" s="5"/>
      <c r="I50" s="5"/>
      <c r="J50" s="6"/>
      <c r="K50" s="9"/>
      <c r="L50" s="6"/>
      <c r="M50" s="406" t="str">
        <f t="shared" si="5"/>
        <v/>
      </c>
      <c r="N50" s="53" t="str">
        <f t="shared" si="4"/>
        <v/>
      </c>
      <c r="O50" s="53">
        <f t="shared" si="6"/>
        <v>-0.01</v>
      </c>
      <c r="P50" s="53">
        <f t="shared" si="7"/>
        <v>0</v>
      </c>
      <c r="Q50" s="53">
        <f t="shared" si="8"/>
        <v>0</v>
      </c>
      <c r="R50" s="6"/>
      <c r="S50" s="6"/>
      <c r="T50" s="6"/>
    </row>
    <row r="51" spans="1:20" x14ac:dyDescent="0.25">
      <c r="A51" s="421" t="str">
        <f>IFERROR(VLOOKUP(D51,'JONS-ADPLANNING'!$G$3:$K$44,4),"")</f>
        <v/>
      </c>
      <c r="B51" s="421" t="str">
        <f>IFERROR(VLOOKUP($D51,HELPER!$A$1:$B$42,2,FALSE),"")</f>
        <v/>
      </c>
      <c r="C51" s="4"/>
      <c r="D51" s="4"/>
      <c r="E51" s="4"/>
      <c r="F51" s="92"/>
      <c r="G51" s="6"/>
      <c r="H51" s="5"/>
      <c r="I51" s="5"/>
      <c r="J51" s="6"/>
      <c r="K51" s="9"/>
      <c r="L51" s="6"/>
      <c r="M51" s="406" t="str">
        <f t="shared" si="5"/>
        <v/>
      </c>
      <c r="N51" s="53" t="str">
        <f t="shared" si="4"/>
        <v/>
      </c>
      <c r="O51" s="53">
        <f t="shared" si="6"/>
        <v>-0.01</v>
      </c>
      <c r="P51" s="53">
        <f t="shared" si="7"/>
        <v>0</v>
      </c>
      <c r="Q51" s="53">
        <f t="shared" si="8"/>
        <v>0</v>
      </c>
      <c r="R51" s="8"/>
      <c r="S51" s="8"/>
      <c r="T51" s="8"/>
    </row>
    <row r="52" spans="1:20" x14ac:dyDescent="0.25">
      <c r="A52" s="421" t="str">
        <f>IFERROR(VLOOKUP(D52,'JONS-ADPLANNING'!$G$3:$K$44,4),"")</f>
        <v/>
      </c>
      <c r="B52" s="421" t="str">
        <f>IFERROR(VLOOKUP($D52,HELPER!$A$1:$B$42,2,FALSE),"")</f>
        <v/>
      </c>
      <c r="C52" s="4"/>
      <c r="D52" s="4"/>
      <c r="E52" s="4"/>
      <c r="F52" s="112"/>
      <c r="G52" s="6"/>
      <c r="H52" s="5"/>
      <c r="I52" s="5"/>
      <c r="J52" s="6"/>
      <c r="K52" s="56"/>
      <c r="L52" s="7"/>
      <c r="M52" s="406" t="str">
        <f t="shared" si="5"/>
        <v/>
      </c>
      <c r="N52" s="53" t="str">
        <f t="shared" si="4"/>
        <v/>
      </c>
      <c r="O52" s="53">
        <f t="shared" si="6"/>
        <v>-0.01</v>
      </c>
      <c r="P52" s="53">
        <f t="shared" si="7"/>
        <v>0</v>
      </c>
      <c r="Q52" s="53">
        <f t="shared" si="8"/>
        <v>0</v>
      </c>
      <c r="R52" s="8"/>
      <c r="S52" s="8"/>
      <c r="T52" s="8"/>
    </row>
    <row r="53" spans="1:20" x14ac:dyDescent="0.25">
      <c r="A53" s="421" t="str">
        <f>IFERROR(VLOOKUP(D53,'JONS-ADPLANNING'!$G$3:$K$44,4),"")</f>
        <v/>
      </c>
      <c r="B53" s="421" t="str">
        <f>IFERROR(VLOOKUP($D53,HELPER!$A$1:$B$42,2,FALSE),"")</f>
        <v/>
      </c>
      <c r="C53" s="4"/>
      <c r="D53" s="4"/>
      <c r="E53" s="4"/>
      <c r="F53" s="112"/>
      <c r="G53" s="6"/>
      <c r="H53" s="5"/>
      <c r="I53" s="5"/>
      <c r="J53" s="6"/>
      <c r="K53" s="56"/>
      <c r="L53" s="7"/>
      <c r="M53" s="406" t="str">
        <f t="shared" si="5"/>
        <v/>
      </c>
      <c r="N53" s="53" t="str">
        <f t="shared" si="4"/>
        <v/>
      </c>
      <c r="O53" s="53">
        <f t="shared" si="6"/>
        <v>-0.01</v>
      </c>
      <c r="P53" s="53">
        <f t="shared" si="7"/>
        <v>0</v>
      </c>
      <c r="Q53" s="53">
        <f t="shared" si="8"/>
        <v>0</v>
      </c>
      <c r="R53" s="8"/>
      <c r="S53" s="8"/>
      <c r="T53" s="8"/>
    </row>
    <row r="54" spans="1:20" x14ac:dyDescent="0.25">
      <c r="A54" s="421" t="str">
        <f>IFERROR(VLOOKUP(D54,'JONS-ADPLANNING'!$G$3:$K$44,4),"")</f>
        <v/>
      </c>
      <c r="B54" s="421" t="str">
        <f>IFERROR(VLOOKUP($D54,HELPER!$A$1:$B$42,2,FALSE),"")</f>
        <v/>
      </c>
      <c r="C54" s="4"/>
      <c r="D54" s="4"/>
      <c r="E54" s="4"/>
      <c r="F54" s="112"/>
      <c r="G54" s="6"/>
      <c r="H54" s="5"/>
      <c r="I54" s="5"/>
      <c r="J54" s="6"/>
      <c r="K54" s="56"/>
      <c r="L54" s="7"/>
      <c r="M54" s="406" t="str">
        <f t="shared" si="5"/>
        <v/>
      </c>
      <c r="N54" s="53" t="str">
        <f t="shared" si="4"/>
        <v/>
      </c>
      <c r="O54" s="53">
        <f t="shared" si="6"/>
        <v>-0.01</v>
      </c>
      <c r="P54" s="53">
        <f t="shared" si="7"/>
        <v>0</v>
      </c>
      <c r="Q54" s="53">
        <f t="shared" si="8"/>
        <v>0</v>
      </c>
      <c r="R54" s="8"/>
      <c r="S54" s="8"/>
      <c r="T54" s="8"/>
    </row>
    <row r="55" spans="1:20" x14ac:dyDescent="0.25">
      <c r="A55" s="421" t="str">
        <f>IFERROR(VLOOKUP(D55,'JONS-ADPLANNING'!$G$3:$K$44,4),"")</f>
        <v/>
      </c>
      <c r="B55" s="421" t="str">
        <f>IFERROR(VLOOKUP($D55,HELPER!$A$1:$B$42,2,FALSE),"")</f>
        <v/>
      </c>
      <c r="C55" s="4"/>
      <c r="D55" s="4"/>
      <c r="E55" s="4"/>
      <c r="F55" s="112"/>
      <c r="G55" s="6"/>
      <c r="H55" s="5"/>
      <c r="I55" s="5"/>
      <c r="J55" s="6"/>
      <c r="K55" s="56"/>
      <c r="L55" s="7"/>
      <c r="M55" s="406" t="str">
        <f t="shared" si="5"/>
        <v/>
      </c>
      <c r="N55" s="53" t="str">
        <f t="shared" si="4"/>
        <v/>
      </c>
      <c r="O55" s="53">
        <f t="shared" si="6"/>
        <v>-0.01</v>
      </c>
      <c r="P55" s="53">
        <f t="shared" si="7"/>
        <v>0</v>
      </c>
      <c r="Q55" s="53">
        <f t="shared" si="8"/>
        <v>0</v>
      </c>
      <c r="R55" s="8"/>
      <c r="S55" s="8"/>
      <c r="T55" s="8"/>
    </row>
    <row r="56" spans="1:20" x14ac:dyDescent="0.25">
      <c r="A56" s="421" t="str">
        <f>IFERROR(VLOOKUP(D56,'JONS-ADPLANNING'!$G$3:$K$44,4),"")</f>
        <v/>
      </c>
      <c r="B56" s="421" t="str">
        <f>IFERROR(VLOOKUP($D56,HELPER!$A$1:$B$42,2,FALSE),"")</f>
        <v/>
      </c>
      <c r="C56" s="4"/>
      <c r="D56" s="4"/>
      <c r="E56" s="4"/>
      <c r="F56" s="112"/>
      <c r="G56" s="6"/>
      <c r="H56" s="5"/>
      <c r="I56" s="5"/>
      <c r="J56" s="6"/>
      <c r="K56" s="56"/>
      <c r="L56" s="7"/>
      <c r="M56" s="406" t="str">
        <f t="shared" si="5"/>
        <v/>
      </c>
      <c r="N56" s="53" t="str">
        <f t="shared" si="4"/>
        <v/>
      </c>
      <c r="O56" s="53">
        <f t="shared" si="6"/>
        <v>-0.01</v>
      </c>
      <c r="P56" s="53">
        <f t="shared" si="7"/>
        <v>0</v>
      </c>
      <c r="Q56" s="53">
        <f t="shared" si="8"/>
        <v>0</v>
      </c>
      <c r="R56" s="8"/>
      <c r="S56" s="8"/>
      <c r="T56" s="8"/>
    </row>
    <row r="57" spans="1:20" x14ac:dyDescent="0.25">
      <c r="A57" s="421" t="str">
        <f>IFERROR(VLOOKUP(D57,'JONS-ADPLANNING'!$G$3:$K$44,4),"")</f>
        <v/>
      </c>
      <c r="B57" s="421" t="str">
        <f>IFERROR(VLOOKUP($D57,HELPER!$A$1:$B$42,2,FALSE),"")</f>
        <v/>
      </c>
      <c r="C57" s="4"/>
      <c r="D57" s="4"/>
      <c r="E57" s="4"/>
      <c r="F57" s="112"/>
      <c r="G57" s="6"/>
      <c r="H57" s="5"/>
      <c r="I57" s="5"/>
      <c r="J57" s="6"/>
      <c r="K57" s="56"/>
      <c r="L57" s="7"/>
      <c r="M57" s="406" t="str">
        <f t="shared" si="5"/>
        <v/>
      </c>
      <c r="N57" s="53" t="str">
        <f t="shared" si="4"/>
        <v/>
      </c>
      <c r="O57" s="53">
        <f t="shared" si="6"/>
        <v>-0.01</v>
      </c>
      <c r="P57" s="53">
        <f t="shared" si="7"/>
        <v>0</v>
      </c>
      <c r="Q57" s="53">
        <f t="shared" si="8"/>
        <v>0</v>
      </c>
      <c r="R57" s="8"/>
      <c r="S57" s="8"/>
      <c r="T57" s="8"/>
    </row>
    <row r="58" spans="1:20" x14ac:dyDescent="0.25">
      <c r="A58" s="421" t="str">
        <f>IFERROR(VLOOKUP(D58,'JONS-ADPLANNING'!$G$3:$K$44,4),"")</f>
        <v/>
      </c>
      <c r="B58" s="421" t="str">
        <f>IFERROR(VLOOKUP($D58,HELPER!$A$1:$B$42,2,FALSE),"")</f>
        <v/>
      </c>
      <c r="C58" s="4"/>
      <c r="D58" s="4"/>
      <c r="E58" s="4"/>
      <c r="F58" s="112"/>
      <c r="G58" s="6"/>
      <c r="H58" s="5"/>
      <c r="I58" s="5"/>
      <c r="J58" s="6"/>
      <c r="K58" s="56"/>
      <c r="L58" s="7"/>
      <c r="M58" s="406" t="str">
        <f t="shared" si="5"/>
        <v/>
      </c>
      <c r="N58" s="53" t="str">
        <f t="shared" si="4"/>
        <v/>
      </c>
      <c r="O58" s="53">
        <f t="shared" si="6"/>
        <v>-0.01</v>
      </c>
      <c r="P58" s="53">
        <f t="shared" si="7"/>
        <v>0</v>
      </c>
      <c r="Q58" s="53">
        <f t="shared" si="8"/>
        <v>0</v>
      </c>
      <c r="R58" s="8"/>
      <c r="S58" s="8"/>
      <c r="T58" s="8"/>
    </row>
    <row r="59" spans="1:20" x14ac:dyDescent="0.25">
      <c r="A59" s="421" t="str">
        <f>IFERROR(VLOOKUP(D59,'JONS-ADPLANNING'!$G$3:$K$44,4),"")</f>
        <v/>
      </c>
      <c r="B59" s="421" t="str">
        <f>IFERROR(VLOOKUP($D59,HELPER!$A$1:$B$42,2,FALSE),"")</f>
        <v/>
      </c>
      <c r="C59" s="4"/>
      <c r="D59" s="4"/>
      <c r="E59" s="4"/>
      <c r="F59" s="112"/>
      <c r="G59" s="6"/>
      <c r="H59" s="5"/>
      <c r="I59" s="5"/>
      <c r="J59" s="6"/>
      <c r="K59" s="56"/>
      <c r="L59" s="7"/>
      <c r="M59" s="406" t="str">
        <f t="shared" si="5"/>
        <v/>
      </c>
      <c r="N59" s="53" t="str">
        <f t="shared" si="4"/>
        <v/>
      </c>
      <c r="O59" s="53">
        <f t="shared" si="6"/>
        <v>-0.01</v>
      </c>
      <c r="P59" s="53">
        <f t="shared" si="7"/>
        <v>0</v>
      </c>
      <c r="Q59" s="53">
        <f t="shared" si="8"/>
        <v>0</v>
      </c>
      <c r="R59" s="8"/>
      <c r="S59" s="8"/>
      <c r="T59" s="8"/>
    </row>
    <row r="60" spans="1:20" x14ac:dyDescent="0.25">
      <c r="A60" s="421" t="str">
        <f>IFERROR(VLOOKUP(D60,'JONS-ADPLANNING'!$G$3:$K$44,4),"")</f>
        <v/>
      </c>
      <c r="B60" s="421" t="str">
        <f>IFERROR(VLOOKUP($D60,HELPER!$A$1:$B$42,2,FALSE),"")</f>
        <v/>
      </c>
      <c r="C60" s="4"/>
      <c r="D60" s="4"/>
      <c r="E60" s="4"/>
      <c r="F60" s="112"/>
      <c r="G60" s="6"/>
      <c r="H60" s="5"/>
      <c r="I60" s="5"/>
      <c r="J60" s="6"/>
      <c r="K60" s="56"/>
      <c r="L60" s="7"/>
      <c r="M60" s="406" t="str">
        <f t="shared" si="5"/>
        <v/>
      </c>
      <c r="N60" s="53" t="str">
        <f t="shared" si="4"/>
        <v/>
      </c>
      <c r="O60" s="53">
        <f t="shared" si="6"/>
        <v>-0.01</v>
      </c>
      <c r="P60" s="53">
        <f t="shared" si="7"/>
        <v>0</v>
      </c>
      <c r="Q60" s="53">
        <f t="shared" si="8"/>
        <v>0</v>
      </c>
      <c r="R60" s="8"/>
      <c r="S60" s="8"/>
      <c r="T60" s="8"/>
    </row>
    <row r="61" spans="1:20" x14ac:dyDescent="0.25">
      <c r="A61" s="421" t="str">
        <f>IFERROR(VLOOKUP(D61,'JONS-ADPLANNING'!$G$3:$K$44,4),"")</f>
        <v/>
      </c>
      <c r="B61" s="421" t="str">
        <f>IFERROR(VLOOKUP($D61,HELPER!$A$1:$B$42,2,FALSE),"")</f>
        <v/>
      </c>
      <c r="C61" s="4"/>
      <c r="D61" s="4"/>
      <c r="E61" s="4"/>
      <c r="F61" s="112"/>
      <c r="G61" s="6"/>
      <c r="H61" s="5"/>
      <c r="I61" s="5"/>
      <c r="J61" s="6"/>
      <c r="K61" s="56"/>
      <c r="L61" s="7"/>
      <c r="M61" s="406" t="str">
        <f t="shared" si="5"/>
        <v/>
      </c>
      <c r="N61" s="53" t="str">
        <f t="shared" si="4"/>
        <v/>
      </c>
      <c r="O61" s="53">
        <f t="shared" si="6"/>
        <v>-0.01</v>
      </c>
      <c r="P61" s="53">
        <f t="shared" si="7"/>
        <v>0</v>
      </c>
      <c r="Q61" s="53">
        <f t="shared" si="8"/>
        <v>0</v>
      </c>
      <c r="R61" s="8"/>
      <c r="S61" s="8"/>
      <c r="T61" s="8"/>
    </row>
    <row r="62" spans="1:20" x14ac:dyDescent="0.25">
      <c r="A62" s="421" t="str">
        <f>IFERROR(VLOOKUP(D62,'JONS-ADPLANNING'!$G$3:$K$44,4),"")</f>
        <v/>
      </c>
      <c r="B62" s="421" t="str">
        <f>IFERROR(VLOOKUP($D62,HELPER!$A$1:$B$42,2,FALSE),"")</f>
        <v/>
      </c>
      <c r="C62" s="4"/>
      <c r="D62" s="4"/>
      <c r="E62" s="4"/>
      <c r="F62" s="112"/>
      <c r="G62" s="6"/>
      <c r="H62" s="5"/>
      <c r="I62" s="5"/>
      <c r="J62" s="6"/>
      <c r="K62" s="56"/>
      <c r="L62" s="7"/>
      <c r="M62" s="406" t="str">
        <f t="shared" si="5"/>
        <v/>
      </c>
      <c r="N62" s="53" t="str">
        <f t="shared" si="4"/>
        <v/>
      </c>
      <c r="O62" s="53">
        <f t="shared" si="6"/>
        <v>-0.01</v>
      </c>
      <c r="P62" s="53">
        <f t="shared" si="7"/>
        <v>0</v>
      </c>
      <c r="Q62" s="53">
        <f t="shared" si="8"/>
        <v>0</v>
      </c>
      <c r="R62" s="8"/>
      <c r="S62" s="8"/>
      <c r="T62" s="8"/>
    </row>
    <row r="63" spans="1:20" x14ac:dyDescent="0.25">
      <c r="A63" s="421" t="str">
        <f>IFERROR(VLOOKUP(D63,'JONS-ADPLANNING'!$G$3:$K$44,4),"")</f>
        <v/>
      </c>
      <c r="B63" s="421" t="str">
        <f>IFERROR(VLOOKUP($D63,HELPER!$A$1:$B$42,2,FALSE),"")</f>
        <v/>
      </c>
      <c r="C63" s="4"/>
      <c r="D63" s="4"/>
      <c r="E63" s="4"/>
      <c r="F63" s="112"/>
      <c r="G63" s="6"/>
      <c r="H63" s="5"/>
      <c r="I63" s="5"/>
      <c r="J63" s="6"/>
      <c r="K63" s="56"/>
      <c r="L63" s="7"/>
      <c r="M63" s="406" t="str">
        <f t="shared" si="5"/>
        <v/>
      </c>
      <c r="N63" s="53" t="str">
        <f t="shared" si="4"/>
        <v/>
      </c>
      <c r="O63" s="53">
        <f t="shared" si="6"/>
        <v>-0.01</v>
      </c>
      <c r="P63" s="53">
        <f t="shared" si="7"/>
        <v>0</v>
      </c>
      <c r="Q63" s="53">
        <f t="shared" si="8"/>
        <v>0</v>
      </c>
      <c r="R63" s="8"/>
      <c r="S63" s="8"/>
      <c r="T63" s="8"/>
    </row>
    <row r="64" spans="1:20" x14ac:dyDescent="0.25">
      <c r="A64" s="421" t="str">
        <f>IFERROR(VLOOKUP(D64,'JONS-ADPLANNING'!$G$3:$K$44,4),"")</f>
        <v/>
      </c>
      <c r="B64" s="421" t="str">
        <f>IFERROR(VLOOKUP($D64,HELPER!$A$1:$B$42,2,FALSE),"")</f>
        <v/>
      </c>
      <c r="C64" s="4"/>
      <c r="D64" s="4"/>
      <c r="E64" s="4"/>
      <c r="F64" s="112"/>
      <c r="G64" s="6"/>
      <c r="H64" s="5"/>
      <c r="I64" s="5"/>
      <c r="J64" s="6"/>
      <c r="K64" s="56"/>
      <c r="L64" s="7"/>
      <c r="M64" s="406" t="str">
        <f t="shared" si="5"/>
        <v/>
      </c>
      <c r="N64" s="53" t="str">
        <f t="shared" si="4"/>
        <v/>
      </c>
      <c r="O64" s="53">
        <f t="shared" si="6"/>
        <v>-0.01</v>
      </c>
      <c r="P64" s="53">
        <f t="shared" si="7"/>
        <v>0</v>
      </c>
      <c r="Q64" s="53">
        <f t="shared" si="8"/>
        <v>0</v>
      </c>
      <c r="R64" s="8"/>
      <c r="S64" s="8"/>
      <c r="T64" s="8"/>
    </row>
    <row r="65" spans="1:20" x14ac:dyDescent="0.25">
      <c r="A65" s="421" t="str">
        <f>IFERROR(VLOOKUP(D65,'JONS-ADPLANNING'!$G$3:$K$44,4),"")</f>
        <v/>
      </c>
      <c r="B65" s="421" t="str">
        <f>IFERROR(VLOOKUP($D65,HELPER!$A$1:$B$42,2,FALSE),"")</f>
        <v/>
      </c>
      <c r="C65" s="4"/>
      <c r="D65" s="4"/>
      <c r="E65" s="4"/>
      <c r="F65" s="112"/>
      <c r="G65" s="6"/>
      <c r="H65" s="5"/>
      <c r="I65" s="5"/>
      <c r="J65" s="6"/>
      <c r="K65" s="56"/>
      <c r="L65" s="7"/>
      <c r="M65" s="406" t="str">
        <f t="shared" si="5"/>
        <v/>
      </c>
      <c r="N65" s="53" t="str">
        <f t="shared" si="4"/>
        <v/>
      </c>
      <c r="O65" s="53">
        <f t="shared" si="6"/>
        <v>-0.01</v>
      </c>
      <c r="P65" s="53">
        <f t="shared" si="7"/>
        <v>0</v>
      </c>
      <c r="Q65" s="53">
        <f t="shared" si="8"/>
        <v>0</v>
      </c>
      <c r="R65" s="8"/>
      <c r="S65" s="8"/>
      <c r="T65" s="8"/>
    </row>
    <row r="66" spans="1:20" x14ac:dyDescent="0.25">
      <c r="A66" s="421" t="str">
        <f>IFERROR(VLOOKUP(D66,'JONS-ADPLANNING'!$G$3:$K$44,4),"")</f>
        <v/>
      </c>
      <c r="B66" s="421" t="str">
        <f>IFERROR(VLOOKUP($D66,HELPER!$A$1:$B$42,2,FALSE),"")</f>
        <v/>
      </c>
      <c r="C66" s="4"/>
      <c r="D66" s="4"/>
      <c r="E66" s="4"/>
      <c r="F66" s="112"/>
      <c r="G66" s="6"/>
      <c r="H66" s="5"/>
      <c r="I66" s="5"/>
      <c r="J66" s="6"/>
      <c r="K66" s="56"/>
      <c r="L66" s="7"/>
      <c r="M66" s="406" t="str">
        <f t="shared" ref="M66:M100" si="9">IF(ISBLANK(BOOTHACC),"",IFERROR(BOOTHACC/K66,0))</f>
        <v/>
      </c>
      <c r="N66" s="53" t="str">
        <f t="shared" si="4"/>
        <v/>
      </c>
      <c r="O66" s="53">
        <f t="shared" ref="O66:O97" si="10">P66-0.01</f>
        <v>-0.01</v>
      </c>
      <c r="P66" s="53">
        <f t="shared" ref="P66:P97" si="11">Q66/2</f>
        <v>0</v>
      </c>
      <c r="Q66" s="53">
        <f t="shared" ref="Q66:Q100" si="12">L66*150%</f>
        <v>0</v>
      </c>
      <c r="R66" s="8"/>
      <c r="S66" s="8"/>
      <c r="T66" s="8"/>
    </row>
    <row r="67" spans="1:20" x14ac:dyDescent="0.25">
      <c r="A67" s="421" t="str">
        <f>IFERROR(VLOOKUP(D67,'JONS-ADPLANNING'!$G$3:$K$44,4),"")</f>
        <v/>
      </c>
      <c r="B67" s="421" t="str">
        <f>IFERROR(VLOOKUP($D67,HELPER!$A$1:$B$42,2,FALSE),"")</f>
        <v/>
      </c>
      <c r="C67" s="4"/>
      <c r="D67" s="4"/>
      <c r="E67" s="4"/>
      <c r="F67" s="112"/>
      <c r="G67" s="6"/>
      <c r="H67" s="5"/>
      <c r="I67" s="5"/>
      <c r="J67" s="6"/>
      <c r="K67" s="56"/>
      <c r="L67" s="7"/>
      <c r="M67" s="406" t="str">
        <f t="shared" si="9"/>
        <v/>
      </c>
      <c r="N67" s="53" t="str">
        <f t="shared" ref="N67:N100" si="13">IF(ISBLANK(K67),"",IF(K67=0,"BAD",IF(M67&gt;=Q67,"BAD",IF(M67&gt;=P67,"OK",IF(M67&lt;=O67,"GOOD")))))</f>
        <v/>
      </c>
      <c r="O67" s="53">
        <f t="shared" si="10"/>
        <v>-0.01</v>
      </c>
      <c r="P67" s="53">
        <f t="shared" si="11"/>
        <v>0</v>
      </c>
      <c r="Q67" s="53">
        <f t="shared" si="12"/>
        <v>0</v>
      </c>
      <c r="R67" s="8"/>
      <c r="S67" s="8"/>
      <c r="T67" s="8"/>
    </row>
    <row r="68" spans="1:20" x14ac:dyDescent="0.25">
      <c r="A68" s="421" t="str">
        <f>IFERROR(VLOOKUP(D68,'JONS-ADPLANNING'!$G$3:$K$44,4),"")</f>
        <v/>
      </c>
      <c r="B68" s="421" t="str">
        <f>IFERROR(VLOOKUP($D68,HELPER!$A$1:$B$42,2,FALSE),"")</f>
        <v/>
      </c>
      <c r="C68" s="4"/>
      <c r="D68" s="4"/>
      <c r="E68" s="4"/>
      <c r="F68" s="112"/>
      <c r="G68" s="6"/>
      <c r="H68" s="5"/>
      <c r="I68" s="5"/>
      <c r="J68" s="6"/>
      <c r="K68" s="56"/>
      <c r="L68" s="7"/>
      <c r="M68" s="406" t="str">
        <f t="shared" si="9"/>
        <v/>
      </c>
      <c r="N68" s="53" t="str">
        <f t="shared" si="13"/>
        <v/>
      </c>
      <c r="O68" s="53">
        <f t="shared" si="10"/>
        <v>-0.01</v>
      </c>
      <c r="P68" s="53">
        <f t="shared" si="11"/>
        <v>0</v>
      </c>
      <c r="Q68" s="53">
        <f t="shared" si="12"/>
        <v>0</v>
      </c>
      <c r="R68" s="8"/>
      <c r="S68" s="8"/>
      <c r="T68" s="8"/>
    </row>
    <row r="69" spans="1:20" x14ac:dyDescent="0.25">
      <c r="A69" s="421" t="str">
        <f>IFERROR(VLOOKUP(D69,'JONS-ADPLANNING'!$G$3:$K$44,4),"")</f>
        <v/>
      </c>
      <c r="B69" s="421" t="str">
        <f>IFERROR(VLOOKUP($D69,HELPER!$A$1:$B$42,2,FALSE),"")</f>
        <v/>
      </c>
      <c r="C69" s="4"/>
      <c r="D69" s="4"/>
      <c r="E69" s="4"/>
      <c r="F69" s="112"/>
      <c r="G69" s="6"/>
      <c r="H69" s="5"/>
      <c r="I69" s="5"/>
      <c r="J69" s="6"/>
      <c r="K69" s="56"/>
      <c r="L69" s="7"/>
      <c r="M69" s="406" t="str">
        <f t="shared" si="9"/>
        <v/>
      </c>
      <c r="N69" s="53" t="str">
        <f t="shared" si="13"/>
        <v/>
      </c>
      <c r="O69" s="53">
        <f t="shared" si="10"/>
        <v>-0.01</v>
      </c>
      <c r="P69" s="53">
        <f t="shared" si="11"/>
        <v>0</v>
      </c>
      <c r="Q69" s="53">
        <f t="shared" si="12"/>
        <v>0</v>
      </c>
      <c r="R69" s="8"/>
      <c r="S69" s="8"/>
      <c r="T69" s="8"/>
    </row>
    <row r="70" spans="1:20" x14ac:dyDescent="0.25">
      <c r="A70" s="421" t="str">
        <f>IFERROR(VLOOKUP(D70,'JONS-ADPLANNING'!$G$3:$K$44,4),"")</f>
        <v/>
      </c>
      <c r="B70" s="421" t="str">
        <f>IFERROR(VLOOKUP($D70,HELPER!$A$1:$B$42,2,FALSE),"")</f>
        <v/>
      </c>
      <c r="C70" s="4"/>
      <c r="D70" s="4"/>
      <c r="E70" s="4"/>
      <c r="F70" s="112"/>
      <c r="G70" s="6"/>
      <c r="H70" s="5"/>
      <c r="I70" s="5"/>
      <c r="J70" s="6"/>
      <c r="K70" s="56"/>
      <c r="L70" s="7"/>
      <c r="M70" s="406" t="str">
        <f t="shared" si="9"/>
        <v/>
      </c>
      <c r="N70" s="53" t="str">
        <f t="shared" si="13"/>
        <v/>
      </c>
      <c r="O70" s="53">
        <f t="shared" si="10"/>
        <v>-0.01</v>
      </c>
      <c r="P70" s="53">
        <f t="shared" si="11"/>
        <v>0</v>
      </c>
      <c r="Q70" s="53">
        <f t="shared" si="12"/>
        <v>0</v>
      </c>
      <c r="R70" s="8"/>
      <c r="S70" s="8"/>
      <c r="T70" s="8"/>
    </row>
    <row r="71" spans="1:20" x14ac:dyDescent="0.25">
      <c r="A71" s="421" t="str">
        <f>IFERROR(VLOOKUP(D71,'JONS-ADPLANNING'!$G$3:$K$44,4),"")</f>
        <v/>
      </c>
      <c r="B71" s="421" t="str">
        <f>IFERROR(VLOOKUP($D71,HELPER!$A$1:$B$42,2,FALSE),"")</f>
        <v/>
      </c>
      <c r="C71" s="4"/>
      <c r="D71" s="4"/>
      <c r="E71" s="4"/>
      <c r="F71" s="112"/>
      <c r="G71" s="6"/>
      <c r="H71" s="5"/>
      <c r="I71" s="5"/>
      <c r="J71" s="6"/>
      <c r="K71" s="56"/>
      <c r="L71" s="7"/>
      <c r="M71" s="406" t="str">
        <f t="shared" si="9"/>
        <v/>
      </c>
      <c r="N71" s="53" t="str">
        <f t="shared" si="13"/>
        <v/>
      </c>
      <c r="O71" s="53">
        <f t="shared" si="10"/>
        <v>-0.01</v>
      </c>
      <c r="P71" s="53">
        <f t="shared" si="11"/>
        <v>0</v>
      </c>
      <c r="Q71" s="53">
        <f t="shared" si="12"/>
        <v>0</v>
      </c>
      <c r="R71" s="8"/>
      <c r="S71" s="8"/>
      <c r="T71" s="8"/>
    </row>
    <row r="72" spans="1:20" x14ac:dyDescent="0.25">
      <c r="A72" s="421" t="str">
        <f>IFERROR(VLOOKUP(D72,'JONS-ADPLANNING'!$G$3:$K$44,4),"")</f>
        <v/>
      </c>
      <c r="B72" s="421" t="str">
        <f>IFERROR(VLOOKUP($D72,HELPER!$A$1:$B$42,2,FALSE),"")</f>
        <v/>
      </c>
      <c r="C72" s="4"/>
      <c r="D72" s="4"/>
      <c r="E72" s="4"/>
      <c r="F72" s="112"/>
      <c r="G72" s="6"/>
      <c r="H72" s="5"/>
      <c r="I72" s="5"/>
      <c r="J72" s="6"/>
      <c r="K72" s="56"/>
      <c r="L72" s="7"/>
      <c r="M72" s="406" t="str">
        <f t="shared" si="9"/>
        <v/>
      </c>
      <c r="N72" s="53" t="str">
        <f t="shared" si="13"/>
        <v/>
      </c>
      <c r="O72" s="53">
        <f t="shared" si="10"/>
        <v>-0.01</v>
      </c>
      <c r="P72" s="53">
        <f t="shared" si="11"/>
        <v>0</v>
      </c>
      <c r="Q72" s="53">
        <f t="shared" si="12"/>
        <v>0</v>
      </c>
      <c r="R72" s="8"/>
      <c r="S72" s="8"/>
      <c r="T72" s="8"/>
    </row>
    <row r="73" spans="1:20" x14ac:dyDescent="0.25">
      <c r="A73" s="421" t="str">
        <f>IFERROR(VLOOKUP(D73,'JONS-ADPLANNING'!$G$3:$K$44,4),"")</f>
        <v/>
      </c>
      <c r="B73" s="421" t="str">
        <f>IFERROR(VLOOKUP($D73,HELPER!$A$1:$B$42,2,FALSE),"")</f>
        <v/>
      </c>
      <c r="C73" s="4"/>
      <c r="D73" s="4"/>
      <c r="E73" s="4"/>
      <c r="F73" s="112"/>
      <c r="G73" s="6"/>
      <c r="H73" s="5"/>
      <c r="I73" s="5"/>
      <c r="J73" s="6"/>
      <c r="K73" s="56"/>
      <c r="L73" s="7"/>
      <c r="M73" s="406" t="str">
        <f t="shared" si="9"/>
        <v/>
      </c>
      <c r="N73" s="53" t="str">
        <f t="shared" si="13"/>
        <v/>
      </c>
      <c r="O73" s="53">
        <f t="shared" si="10"/>
        <v>-0.01</v>
      </c>
      <c r="P73" s="53">
        <f t="shared" si="11"/>
        <v>0</v>
      </c>
      <c r="Q73" s="53">
        <f t="shared" si="12"/>
        <v>0</v>
      </c>
      <c r="R73" s="8"/>
      <c r="S73" s="8"/>
      <c r="T73" s="8"/>
    </row>
    <row r="74" spans="1:20" x14ac:dyDescent="0.25">
      <c r="A74" s="421" t="str">
        <f>IFERROR(VLOOKUP(D74,'JONS-ADPLANNING'!$G$3:$K$44,4),"")</f>
        <v/>
      </c>
      <c r="B74" s="421" t="str">
        <f>IFERROR(VLOOKUP($D74,HELPER!$A$1:$B$42,2,FALSE),"")</f>
        <v/>
      </c>
      <c r="C74" s="4"/>
      <c r="D74" s="4"/>
      <c r="E74" s="4"/>
      <c r="F74" s="112"/>
      <c r="G74" s="6"/>
      <c r="H74" s="5"/>
      <c r="I74" s="5"/>
      <c r="J74" s="6"/>
      <c r="K74" s="56"/>
      <c r="L74" s="7"/>
      <c r="M74" s="406" t="str">
        <f t="shared" si="9"/>
        <v/>
      </c>
      <c r="N74" s="53" t="str">
        <f t="shared" si="13"/>
        <v/>
      </c>
      <c r="O74" s="53">
        <f t="shared" si="10"/>
        <v>-0.01</v>
      </c>
      <c r="P74" s="53">
        <f t="shared" si="11"/>
        <v>0</v>
      </c>
      <c r="Q74" s="53">
        <f t="shared" si="12"/>
        <v>0</v>
      </c>
      <c r="R74" s="8"/>
      <c r="S74" s="8"/>
      <c r="T74" s="8"/>
    </row>
    <row r="75" spans="1:20" x14ac:dyDescent="0.25">
      <c r="A75" s="421" t="str">
        <f>IFERROR(VLOOKUP(D75,'JONS-ADPLANNING'!$G$3:$K$44,4),"")</f>
        <v/>
      </c>
      <c r="B75" s="421" t="str">
        <f>IFERROR(VLOOKUP($D75,HELPER!$A$1:$B$42,2,FALSE),"")</f>
        <v/>
      </c>
      <c r="C75" s="4"/>
      <c r="D75" s="4"/>
      <c r="E75" s="4"/>
      <c r="F75" s="112"/>
      <c r="G75" s="6"/>
      <c r="H75" s="5"/>
      <c r="I75" s="5"/>
      <c r="J75" s="6"/>
      <c r="K75" s="56"/>
      <c r="L75" s="7"/>
      <c r="M75" s="406" t="str">
        <f t="shared" si="9"/>
        <v/>
      </c>
      <c r="N75" s="53" t="str">
        <f t="shared" si="13"/>
        <v/>
      </c>
      <c r="O75" s="53">
        <f t="shared" si="10"/>
        <v>-0.01</v>
      </c>
      <c r="P75" s="53">
        <f t="shared" si="11"/>
        <v>0</v>
      </c>
      <c r="Q75" s="53">
        <f t="shared" si="12"/>
        <v>0</v>
      </c>
      <c r="R75" s="8"/>
      <c r="S75" s="8"/>
      <c r="T75" s="8"/>
    </row>
    <row r="76" spans="1:20" x14ac:dyDescent="0.25">
      <c r="A76" s="421" t="str">
        <f>IFERROR(VLOOKUP(D76,'JONS-ADPLANNING'!$G$3:$K$44,4),"")</f>
        <v/>
      </c>
      <c r="B76" s="421" t="str">
        <f>IFERROR(VLOOKUP($D76,HELPER!$A$1:$B$42,2,FALSE),"")</f>
        <v/>
      </c>
      <c r="C76" s="4"/>
      <c r="D76" s="4"/>
      <c r="E76" s="4"/>
      <c r="F76" s="112"/>
      <c r="G76" s="6"/>
      <c r="H76" s="5"/>
      <c r="I76" s="5"/>
      <c r="J76" s="6"/>
      <c r="K76" s="56"/>
      <c r="L76" s="7"/>
      <c r="M76" s="406" t="str">
        <f t="shared" si="9"/>
        <v/>
      </c>
      <c r="N76" s="53" t="str">
        <f t="shared" si="13"/>
        <v/>
      </c>
      <c r="O76" s="53">
        <f t="shared" si="10"/>
        <v>-0.01</v>
      </c>
      <c r="P76" s="53">
        <f t="shared" si="11"/>
        <v>0</v>
      </c>
      <c r="Q76" s="53">
        <f t="shared" si="12"/>
        <v>0</v>
      </c>
      <c r="R76" s="8"/>
      <c r="S76" s="8"/>
      <c r="T76" s="8"/>
    </row>
    <row r="77" spans="1:20" x14ac:dyDescent="0.25">
      <c r="A77" s="421" t="str">
        <f>IFERROR(VLOOKUP(D77,'JONS-ADPLANNING'!$G$3:$K$44,4),"")</f>
        <v/>
      </c>
      <c r="B77" s="421" t="str">
        <f>IFERROR(VLOOKUP($D77,HELPER!$A$1:$B$42,2,FALSE),"")</f>
        <v/>
      </c>
      <c r="C77" s="4"/>
      <c r="D77" s="4"/>
      <c r="E77" s="4"/>
      <c r="F77" s="112"/>
      <c r="G77" s="6"/>
      <c r="H77" s="5"/>
      <c r="I77" s="5"/>
      <c r="J77" s="6"/>
      <c r="K77" s="56"/>
      <c r="L77" s="7"/>
      <c r="M77" s="406" t="str">
        <f t="shared" si="9"/>
        <v/>
      </c>
      <c r="N77" s="53" t="str">
        <f t="shared" si="13"/>
        <v/>
      </c>
      <c r="O77" s="53">
        <f t="shared" si="10"/>
        <v>-0.01</v>
      </c>
      <c r="P77" s="53">
        <f t="shared" si="11"/>
        <v>0</v>
      </c>
      <c r="Q77" s="53">
        <f t="shared" si="12"/>
        <v>0</v>
      </c>
      <c r="R77" s="8"/>
      <c r="S77" s="8"/>
      <c r="T77" s="8"/>
    </row>
    <row r="78" spans="1:20" x14ac:dyDescent="0.25">
      <c r="A78" s="421" t="str">
        <f>IFERROR(VLOOKUP(D78,'JONS-ADPLANNING'!$G$3:$K$44,4),"")</f>
        <v/>
      </c>
      <c r="B78" s="421" t="str">
        <f>IFERROR(VLOOKUP($D78,HELPER!$A$1:$B$42,2,FALSE),"")</f>
        <v/>
      </c>
      <c r="C78" s="4"/>
      <c r="D78" s="4"/>
      <c r="E78" s="4"/>
      <c r="F78" s="112"/>
      <c r="G78" s="6"/>
      <c r="H78" s="5"/>
      <c r="I78" s="5"/>
      <c r="J78" s="6"/>
      <c r="K78" s="56"/>
      <c r="L78" s="7"/>
      <c r="M78" s="406" t="str">
        <f t="shared" si="9"/>
        <v/>
      </c>
      <c r="N78" s="53" t="str">
        <f t="shared" si="13"/>
        <v/>
      </c>
      <c r="O78" s="53">
        <f t="shared" si="10"/>
        <v>-0.01</v>
      </c>
      <c r="P78" s="53">
        <f t="shared" si="11"/>
        <v>0</v>
      </c>
      <c r="Q78" s="53">
        <f t="shared" si="12"/>
        <v>0</v>
      </c>
      <c r="R78" s="8"/>
      <c r="S78" s="8"/>
      <c r="T78" s="8"/>
    </row>
    <row r="79" spans="1:20" x14ac:dyDescent="0.25">
      <c r="A79" s="421" t="str">
        <f>IFERROR(VLOOKUP(D79,'JONS-ADPLANNING'!$G$3:$K$44,4),"")</f>
        <v/>
      </c>
      <c r="B79" s="421" t="str">
        <f>IFERROR(VLOOKUP($D79,HELPER!$A$1:$B$42,2,FALSE),"")</f>
        <v/>
      </c>
      <c r="C79" s="4"/>
      <c r="D79" s="4"/>
      <c r="E79" s="4"/>
      <c r="F79" s="112"/>
      <c r="G79" s="6"/>
      <c r="H79" s="5"/>
      <c r="I79" s="5"/>
      <c r="J79" s="6"/>
      <c r="K79" s="56"/>
      <c r="L79" s="7"/>
      <c r="M79" s="406" t="str">
        <f t="shared" si="9"/>
        <v/>
      </c>
      <c r="N79" s="53" t="str">
        <f t="shared" si="13"/>
        <v/>
      </c>
      <c r="O79" s="53">
        <f t="shared" si="10"/>
        <v>-0.01</v>
      </c>
      <c r="P79" s="53">
        <f t="shared" si="11"/>
        <v>0</v>
      </c>
      <c r="Q79" s="53">
        <f t="shared" si="12"/>
        <v>0</v>
      </c>
      <c r="R79" s="8"/>
      <c r="S79" s="8"/>
      <c r="T79" s="8"/>
    </row>
    <row r="80" spans="1:20" x14ac:dyDescent="0.25">
      <c r="A80" s="421" t="str">
        <f>IFERROR(VLOOKUP(D80,'JONS-ADPLANNING'!$G$3:$K$44,4),"")</f>
        <v/>
      </c>
      <c r="B80" s="421" t="str">
        <f>IFERROR(VLOOKUP($D80,HELPER!$A$1:$B$42,2,FALSE),"")</f>
        <v/>
      </c>
      <c r="C80" s="4"/>
      <c r="D80" s="4"/>
      <c r="E80" s="4"/>
      <c r="F80" s="112"/>
      <c r="G80" s="6"/>
      <c r="H80" s="5"/>
      <c r="I80" s="5"/>
      <c r="J80" s="6"/>
      <c r="K80" s="56"/>
      <c r="L80" s="7"/>
      <c r="M80" s="406" t="str">
        <f t="shared" si="9"/>
        <v/>
      </c>
      <c r="N80" s="53" t="str">
        <f t="shared" si="13"/>
        <v/>
      </c>
      <c r="O80" s="53">
        <f t="shared" si="10"/>
        <v>-0.01</v>
      </c>
      <c r="P80" s="53">
        <f t="shared" si="11"/>
        <v>0</v>
      </c>
      <c r="Q80" s="53">
        <f t="shared" si="12"/>
        <v>0</v>
      </c>
      <c r="R80" s="8"/>
      <c r="S80" s="8"/>
      <c r="T80" s="8"/>
    </row>
    <row r="81" spans="1:20" x14ac:dyDescent="0.25">
      <c r="A81" s="421" t="str">
        <f>IFERROR(VLOOKUP(D81,'JONS-ADPLANNING'!$G$3:$K$44,4),"")</f>
        <v/>
      </c>
      <c r="B81" s="421" t="str">
        <f>IFERROR(VLOOKUP($D81,HELPER!$A$1:$B$42,2,FALSE),"")</f>
        <v/>
      </c>
      <c r="C81" s="4"/>
      <c r="D81" s="4"/>
      <c r="E81" s="4"/>
      <c r="F81" s="112"/>
      <c r="G81" s="6"/>
      <c r="H81" s="5"/>
      <c r="I81" s="5"/>
      <c r="J81" s="6"/>
      <c r="K81" s="56"/>
      <c r="L81" s="7"/>
      <c r="M81" s="406" t="str">
        <f t="shared" si="9"/>
        <v/>
      </c>
      <c r="N81" s="53" t="str">
        <f t="shared" si="13"/>
        <v/>
      </c>
      <c r="O81" s="53">
        <f t="shared" si="10"/>
        <v>-0.01</v>
      </c>
      <c r="P81" s="53">
        <f t="shared" si="11"/>
        <v>0</v>
      </c>
      <c r="Q81" s="53">
        <f t="shared" si="12"/>
        <v>0</v>
      </c>
      <c r="R81" s="8"/>
      <c r="S81" s="8"/>
      <c r="T81" s="8"/>
    </row>
    <row r="82" spans="1:20" x14ac:dyDescent="0.25">
      <c r="A82" s="421" t="str">
        <f>IFERROR(VLOOKUP(D82,'JONS-ADPLANNING'!$G$3:$K$44,4),"")</f>
        <v/>
      </c>
      <c r="B82" s="421" t="str">
        <f>IFERROR(VLOOKUP($D82,HELPER!$A$1:$B$42,2,FALSE),"")</f>
        <v/>
      </c>
      <c r="C82" s="4"/>
      <c r="D82" s="4"/>
      <c r="E82" s="4"/>
      <c r="F82" s="112"/>
      <c r="G82" s="6"/>
      <c r="H82" s="5"/>
      <c r="I82" s="5"/>
      <c r="J82" s="6"/>
      <c r="K82" s="56"/>
      <c r="L82" s="7"/>
      <c r="M82" s="406" t="str">
        <f t="shared" si="9"/>
        <v/>
      </c>
      <c r="N82" s="53" t="str">
        <f t="shared" si="13"/>
        <v/>
      </c>
      <c r="O82" s="53">
        <f t="shared" si="10"/>
        <v>-0.01</v>
      </c>
      <c r="P82" s="53">
        <f t="shared" si="11"/>
        <v>0</v>
      </c>
      <c r="Q82" s="53">
        <f t="shared" si="12"/>
        <v>0</v>
      </c>
      <c r="R82" s="8"/>
      <c r="S82" s="8"/>
      <c r="T82" s="8"/>
    </row>
    <row r="83" spans="1:20" x14ac:dyDescent="0.25">
      <c r="A83" s="421" t="str">
        <f>IFERROR(VLOOKUP(D83,'JONS-ADPLANNING'!$G$3:$K$44,4),"")</f>
        <v/>
      </c>
      <c r="B83" s="421" t="str">
        <f>IFERROR(VLOOKUP($D83,HELPER!$A$1:$B$42,2,FALSE),"")</f>
        <v/>
      </c>
      <c r="C83" s="4"/>
      <c r="D83" s="4"/>
      <c r="E83" s="4"/>
      <c r="F83" s="112"/>
      <c r="G83" s="6"/>
      <c r="H83" s="5"/>
      <c r="I83" s="5"/>
      <c r="J83" s="6"/>
      <c r="K83" s="56"/>
      <c r="L83" s="7"/>
      <c r="M83" s="406" t="str">
        <f t="shared" si="9"/>
        <v/>
      </c>
      <c r="N83" s="53" t="str">
        <f t="shared" si="13"/>
        <v/>
      </c>
      <c r="O83" s="53">
        <f t="shared" si="10"/>
        <v>-0.01</v>
      </c>
      <c r="P83" s="53">
        <f t="shared" si="11"/>
        <v>0</v>
      </c>
      <c r="Q83" s="53">
        <f t="shared" si="12"/>
        <v>0</v>
      </c>
      <c r="R83" s="8"/>
      <c r="S83" s="8"/>
      <c r="T83" s="8"/>
    </row>
    <row r="84" spans="1:20" x14ac:dyDescent="0.25">
      <c r="A84" s="421" t="str">
        <f>IFERROR(VLOOKUP(D84,'JONS-ADPLANNING'!$G$3:$K$44,4),"")</f>
        <v/>
      </c>
      <c r="B84" s="421" t="str">
        <f>IFERROR(VLOOKUP($D84,HELPER!$A$1:$B$42,2,FALSE),"")</f>
        <v/>
      </c>
      <c r="C84" s="4"/>
      <c r="D84" s="4"/>
      <c r="E84" s="4"/>
      <c r="F84" s="112"/>
      <c r="G84" s="6"/>
      <c r="H84" s="5"/>
      <c r="I84" s="5"/>
      <c r="J84" s="6"/>
      <c r="K84" s="56"/>
      <c r="L84" s="7"/>
      <c r="M84" s="406" t="str">
        <f t="shared" si="9"/>
        <v/>
      </c>
      <c r="N84" s="53" t="str">
        <f t="shared" si="13"/>
        <v/>
      </c>
      <c r="O84" s="53">
        <f t="shared" si="10"/>
        <v>-0.01</v>
      </c>
      <c r="P84" s="53">
        <f t="shared" si="11"/>
        <v>0</v>
      </c>
      <c r="Q84" s="53">
        <f t="shared" si="12"/>
        <v>0</v>
      </c>
      <c r="R84" s="8"/>
      <c r="S84" s="8"/>
      <c r="T84" s="8"/>
    </row>
    <row r="85" spans="1:20" x14ac:dyDescent="0.25">
      <c r="A85" s="421" t="str">
        <f>IFERROR(VLOOKUP(D85,'JONS-ADPLANNING'!$G$3:$K$44,4),"")</f>
        <v/>
      </c>
      <c r="B85" s="421" t="str">
        <f>IFERROR(VLOOKUP($D85,HELPER!$A$1:$B$42,2,FALSE),"")</f>
        <v/>
      </c>
      <c r="C85" s="4"/>
      <c r="D85" s="4"/>
      <c r="E85" s="4"/>
      <c r="F85" s="112"/>
      <c r="G85" s="6"/>
      <c r="H85" s="5"/>
      <c r="I85" s="5"/>
      <c r="J85" s="6"/>
      <c r="K85" s="56"/>
      <c r="L85" s="7"/>
      <c r="M85" s="406" t="str">
        <f t="shared" si="9"/>
        <v/>
      </c>
      <c r="N85" s="53" t="str">
        <f t="shared" si="13"/>
        <v/>
      </c>
      <c r="O85" s="53">
        <f t="shared" si="10"/>
        <v>-0.01</v>
      </c>
      <c r="P85" s="53">
        <f t="shared" si="11"/>
        <v>0</v>
      </c>
      <c r="Q85" s="53">
        <f t="shared" si="12"/>
        <v>0</v>
      </c>
      <c r="R85" s="8"/>
      <c r="S85" s="8"/>
      <c r="T85" s="8"/>
    </row>
    <row r="86" spans="1:20" x14ac:dyDescent="0.25">
      <c r="A86" s="421" t="str">
        <f>IFERROR(VLOOKUP(D86,'JONS-ADPLANNING'!$G$3:$K$44,4),"")</f>
        <v/>
      </c>
      <c r="B86" s="421" t="str">
        <f>IFERROR(VLOOKUP($D86,HELPER!$A$1:$B$42,2,FALSE),"")</f>
        <v/>
      </c>
      <c r="C86" s="4"/>
      <c r="D86" s="4"/>
      <c r="E86" s="4"/>
      <c r="F86" s="112"/>
      <c r="G86" s="6"/>
      <c r="H86" s="5"/>
      <c r="I86" s="5"/>
      <c r="J86" s="6"/>
      <c r="K86" s="56"/>
      <c r="L86" s="7"/>
      <c r="M86" s="406" t="str">
        <f t="shared" si="9"/>
        <v/>
      </c>
      <c r="N86" s="53" t="str">
        <f t="shared" si="13"/>
        <v/>
      </c>
      <c r="O86" s="53">
        <f t="shared" si="10"/>
        <v>-0.01</v>
      </c>
      <c r="P86" s="53">
        <f t="shared" si="11"/>
        <v>0</v>
      </c>
      <c r="Q86" s="53">
        <f t="shared" si="12"/>
        <v>0</v>
      </c>
      <c r="R86" s="8"/>
      <c r="S86" s="8"/>
      <c r="T86" s="8"/>
    </row>
    <row r="87" spans="1:20" x14ac:dyDescent="0.25">
      <c r="A87" s="421" t="str">
        <f>IFERROR(VLOOKUP(D87,'JONS-ADPLANNING'!$G$3:$K$44,4),"")</f>
        <v/>
      </c>
      <c r="B87" s="421" t="str">
        <f>IFERROR(VLOOKUP($D87,HELPER!$A$1:$B$42,2,FALSE),"")</f>
        <v/>
      </c>
      <c r="C87" s="4"/>
      <c r="D87" s="4"/>
      <c r="E87" s="4"/>
      <c r="F87" s="112"/>
      <c r="G87" s="6"/>
      <c r="H87" s="5"/>
      <c r="I87" s="5"/>
      <c r="J87" s="6"/>
      <c r="K87" s="56"/>
      <c r="L87" s="7"/>
      <c r="M87" s="406" t="str">
        <f t="shared" si="9"/>
        <v/>
      </c>
      <c r="N87" s="53" t="str">
        <f t="shared" si="13"/>
        <v/>
      </c>
      <c r="O87" s="53">
        <f t="shared" si="10"/>
        <v>-0.01</v>
      </c>
      <c r="P87" s="53">
        <f t="shared" si="11"/>
        <v>0</v>
      </c>
      <c r="Q87" s="53">
        <f t="shared" si="12"/>
        <v>0</v>
      </c>
      <c r="R87" s="8"/>
      <c r="S87" s="8"/>
      <c r="T87" s="8"/>
    </row>
    <row r="88" spans="1:20" x14ac:dyDescent="0.25">
      <c r="A88" s="421" t="str">
        <f>IFERROR(VLOOKUP(D88,'JONS-ADPLANNING'!$G$3:$K$44,4),"")</f>
        <v/>
      </c>
      <c r="B88" s="421" t="str">
        <f>IFERROR(VLOOKUP($D88,HELPER!$A$1:$B$42,2,FALSE),"")</f>
        <v/>
      </c>
      <c r="C88" s="4"/>
      <c r="D88" s="4"/>
      <c r="E88" s="4"/>
      <c r="F88" s="112"/>
      <c r="G88" s="6"/>
      <c r="H88" s="5"/>
      <c r="I88" s="5"/>
      <c r="J88" s="6"/>
      <c r="K88" s="56"/>
      <c r="L88" s="7"/>
      <c r="M88" s="406" t="str">
        <f t="shared" si="9"/>
        <v/>
      </c>
      <c r="N88" s="53" t="str">
        <f t="shared" si="13"/>
        <v/>
      </c>
      <c r="O88" s="53">
        <f t="shared" si="10"/>
        <v>-0.01</v>
      </c>
      <c r="P88" s="53">
        <f t="shared" si="11"/>
        <v>0</v>
      </c>
      <c r="Q88" s="53">
        <f t="shared" si="12"/>
        <v>0</v>
      </c>
      <c r="R88" s="8"/>
      <c r="S88" s="8"/>
      <c r="T88" s="8"/>
    </row>
    <row r="89" spans="1:20" x14ac:dyDescent="0.25">
      <c r="A89" s="421" t="str">
        <f>IFERROR(VLOOKUP(D89,'JONS-ADPLANNING'!$G$3:$K$44,4),"")</f>
        <v/>
      </c>
      <c r="B89" s="421" t="str">
        <f>IFERROR(VLOOKUP($D89,HELPER!$A$1:$B$42,2,FALSE),"")</f>
        <v/>
      </c>
      <c r="C89" s="4"/>
      <c r="D89" s="4"/>
      <c r="E89" s="4"/>
      <c r="F89" s="112"/>
      <c r="G89" s="6"/>
      <c r="H89" s="5"/>
      <c r="I89" s="5"/>
      <c r="J89" s="6"/>
      <c r="K89" s="56"/>
      <c r="L89" s="7"/>
      <c r="M89" s="406" t="str">
        <f t="shared" si="9"/>
        <v/>
      </c>
      <c r="N89" s="53" t="str">
        <f t="shared" si="13"/>
        <v/>
      </c>
      <c r="O89" s="53">
        <f t="shared" si="10"/>
        <v>-0.01</v>
      </c>
      <c r="P89" s="53">
        <f t="shared" si="11"/>
        <v>0</v>
      </c>
      <c r="Q89" s="53">
        <f t="shared" si="12"/>
        <v>0</v>
      </c>
      <c r="R89" s="8"/>
      <c r="S89" s="8"/>
      <c r="T89" s="8"/>
    </row>
    <row r="90" spans="1:20" x14ac:dyDescent="0.25">
      <c r="A90" s="421" t="str">
        <f>IFERROR(VLOOKUP(D90,'JONS-ADPLANNING'!$G$3:$K$44,4),"")</f>
        <v/>
      </c>
      <c r="B90" s="421" t="str">
        <f>IFERROR(VLOOKUP($D90,HELPER!$A$1:$B$42,2,FALSE),"")</f>
        <v/>
      </c>
      <c r="C90" s="4"/>
      <c r="D90" s="4"/>
      <c r="E90" s="4"/>
      <c r="F90" s="112"/>
      <c r="G90" s="6"/>
      <c r="H90" s="5"/>
      <c r="I90" s="5"/>
      <c r="J90" s="6"/>
      <c r="K90" s="56"/>
      <c r="L90" s="7"/>
      <c r="M90" s="406" t="str">
        <f t="shared" si="9"/>
        <v/>
      </c>
      <c r="N90" s="53" t="str">
        <f t="shared" si="13"/>
        <v/>
      </c>
      <c r="O90" s="53">
        <f t="shared" si="10"/>
        <v>-0.01</v>
      </c>
      <c r="P90" s="53">
        <f t="shared" si="11"/>
        <v>0</v>
      </c>
      <c r="Q90" s="53">
        <f t="shared" si="12"/>
        <v>0</v>
      </c>
      <c r="R90" s="8"/>
      <c r="S90" s="8"/>
      <c r="T90" s="8"/>
    </row>
    <row r="91" spans="1:20" x14ac:dyDescent="0.25">
      <c r="A91" s="421" t="str">
        <f>IFERROR(VLOOKUP(D91,'JONS-ADPLANNING'!$G$3:$K$44,4),"")</f>
        <v/>
      </c>
      <c r="B91" s="421" t="str">
        <f>IFERROR(VLOOKUP($D91,HELPER!$A$1:$B$42,2,FALSE),"")</f>
        <v/>
      </c>
      <c r="C91" s="4"/>
      <c r="D91" s="4"/>
      <c r="E91" s="4"/>
      <c r="F91" s="112"/>
      <c r="G91" s="6"/>
      <c r="H91" s="5"/>
      <c r="I91" s="5"/>
      <c r="J91" s="6"/>
      <c r="K91" s="56"/>
      <c r="L91" s="7"/>
      <c r="M91" s="406" t="str">
        <f t="shared" si="9"/>
        <v/>
      </c>
      <c r="N91" s="53" t="str">
        <f t="shared" si="13"/>
        <v/>
      </c>
      <c r="O91" s="53">
        <f t="shared" si="10"/>
        <v>-0.01</v>
      </c>
      <c r="P91" s="53">
        <f t="shared" si="11"/>
        <v>0</v>
      </c>
      <c r="Q91" s="53">
        <f t="shared" si="12"/>
        <v>0</v>
      </c>
      <c r="R91" s="8"/>
      <c r="S91" s="8"/>
      <c r="T91" s="8"/>
    </row>
    <row r="92" spans="1:20" x14ac:dyDescent="0.25">
      <c r="A92" s="421" t="str">
        <f>IFERROR(VLOOKUP(D92,'JONS-ADPLANNING'!$G$3:$K$44,4),"")</f>
        <v/>
      </c>
      <c r="B92" s="421" t="str">
        <f>IFERROR(VLOOKUP($D92,HELPER!$A$1:$B$42,2,FALSE),"")</f>
        <v/>
      </c>
      <c r="C92" s="4"/>
      <c r="D92" s="4"/>
      <c r="E92" s="4"/>
      <c r="F92" s="112"/>
      <c r="G92" s="6"/>
      <c r="H92" s="5"/>
      <c r="I92" s="5"/>
      <c r="J92" s="6"/>
      <c r="K92" s="56"/>
      <c r="L92" s="7"/>
      <c r="M92" s="406" t="str">
        <f t="shared" si="9"/>
        <v/>
      </c>
      <c r="N92" s="53" t="str">
        <f t="shared" si="13"/>
        <v/>
      </c>
      <c r="O92" s="53">
        <f t="shared" si="10"/>
        <v>-0.01</v>
      </c>
      <c r="P92" s="53">
        <f t="shared" si="11"/>
        <v>0</v>
      </c>
      <c r="Q92" s="53">
        <f t="shared" si="12"/>
        <v>0</v>
      </c>
      <c r="R92" s="8"/>
      <c r="S92" s="8"/>
      <c r="T92" s="8"/>
    </row>
    <row r="93" spans="1:20" x14ac:dyDescent="0.25">
      <c r="A93" s="421" t="str">
        <f>IFERROR(VLOOKUP(D93,'JONS-ADPLANNING'!$G$3:$K$44,4),"")</f>
        <v/>
      </c>
      <c r="B93" s="421" t="str">
        <f>IFERROR(VLOOKUP($D93,HELPER!$A$1:$B$42,2,FALSE),"")</f>
        <v/>
      </c>
      <c r="C93" s="4"/>
      <c r="D93" s="4"/>
      <c r="E93" s="4"/>
      <c r="F93" s="112"/>
      <c r="G93" s="6"/>
      <c r="H93" s="5"/>
      <c r="I93" s="5"/>
      <c r="J93" s="6"/>
      <c r="K93" s="56"/>
      <c r="L93" s="7"/>
      <c r="M93" s="406" t="str">
        <f t="shared" si="9"/>
        <v/>
      </c>
      <c r="N93" s="53" t="str">
        <f t="shared" si="13"/>
        <v/>
      </c>
      <c r="O93" s="53">
        <f t="shared" si="10"/>
        <v>-0.01</v>
      </c>
      <c r="P93" s="53">
        <f t="shared" si="11"/>
        <v>0</v>
      </c>
      <c r="Q93" s="53">
        <f t="shared" si="12"/>
        <v>0</v>
      </c>
      <c r="R93" s="8"/>
      <c r="S93" s="8"/>
      <c r="T93" s="8"/>
    </row>
    <row r="94" spans="1:20" x14ac:dyDescent="0.25">
      <c r="A94" s="421" t="str">
        <f>IFERROR(VLOOKUP(D94,'JONS-ADPLANNING'!$G$3:$K$44,4),"")</f>
        <v/>
      </c>
      <c r="B94" s="421" t="str">
        <f>IFERROR(VLOOKUP($D94,HELPER!$A$1:$B$42,2,FALSE),"")</f>
        <v/>
      </c>
      <c r="C94" s="4"/>
      <c r="D94" s="4"/>
      <c r="E94" s="4"/>
      <c r="F94" s="112"/>
      <c r="G94" s="6"/>
      <c r="H94" s="5"/>
      <c r="I94" s="5"/>
      <c r="J94" s="6"/>
      <c r="K94" s="56"/>
      <c r="L94" s="7"/>
      <c r="M94" s="406" t="str">
        <f t="shared" si="9"/>
        <v/>
      </c>
      <c r="N94" s="53" t="str">
        <f t="shared" si="13"/>
        <v/>
      </c>
      <c r="O94" s="53">
        <f t="shared" si="10"/>
        <v>-0.01</v>
      </c>
      <c r="P94" s="53">
        <f t="shared" si="11"/>
        <v>0</v>
      </c>
      <c r="Q94" s="53">
        <f t="shared" si="12"/>
        <v>0</v>
      </c>
      <c r="R94" s="8"/>
      <c r="S94" s="8"/>
      <c r="T94" s="8"/>
    </row>
    <row r="95" spans="1:20" x14ac:dyDescent="0.25">
      <c r="A95" s="421" t="str">
        <f>IFERROR(VLOOKUP(D95,'JONS-ADPLANNING'!$G$3:$K$44,4),"")</f>
        <v/>
      </c>
      <c r="B95" s="421" t="str">
        <f>IFERROR(VLOOKUP($D95,HELPER!$A$1:$B$42,2,FALSE),"")</f>
        <v/>
      </c>
      <c r="C95" s="4"/>
      <c r="D95" s="4"/>
      <c r="E95" s="4"/>
      <c r="F95" s="112"/>
      <c r="G95" s="6"/>
      <c r="H95" s="5"/>
      <c r="I95" s="5"/>
      <c r="J95" s="6"/>
      <c r="K95" s="56"/>
      <c r="L95" s="7"/>
      <c r="M95" s="406" t="str">
        <f t="shared" si="9"/>
        <v/>
      </c>
      <c r="N95" s="53" t="str">
        <f t="shared" si="13"/>
        <v/>
      </c>
      <c r="O95" s="53">
        <f t="shared" si="10"/>
        <v>-0.01</v>
      </c>
      <c r="P95" s="53">
        <f t="shared" si="11"/>
        <v>0</v>
      </c>
      <c r="Q95" s="53">
        <f t="shared" si="12"/>
        <v>0</v>
      </c>
      <c r="R95" s="8"/>
      <c r="S95" s="8"/>
      <c r="T95" s="8"/>
    </row>
    <row r="96" spans="1:20" x14ac:dyDescent="0.25">
      <c r="A96" s="421" t="str">
        <f>IFERROR(VLOOKUP(D96,'JONS-ADPLANNING'!$G$3:$K$44,4),"")</f>
        <v/>
      </c>
      <c r="B96" s="421" t="str">
        <f>IFERROR(VLOOKUP($D96,HELPER!$A$1:$B$42,2,FALSE),"")</f>
        <v/>
      </c>
      <c r="C96" s="4"/>
      <c r="D96" s="4"/>
      <c r="E96" s="4"/>
      <c r="F96" s="112"/>
      <c r="G96" s="6"/>
      <c r="H96" s="5"/>
      <c r="I96" s="5"/>
      <c r="J96" s="6"/>
      <c r="K96" s="56"/>
      <c r="L96" s="7"/>
      <c r="M96" s="406" t="str">
        <f t="shared" si="9"/>
        <v/>
      </c>
      <c r="N96" s="53" t="str">
        <f t="shared" si="13"/>
        <v/>
      </c>
      <c r="O96" s="53">
        <f t="shared" si="10"/>
        <v>-0.01</v>
      </c>
      <c r="P96" s="53">
        <f t="shared" si="11"/>
        <v>0</v>
      </c>
      <c r="Q96" s="53">
        <f t="shared" si="12"/>
        <v>0</v>
      </c>
      <c r="R96" s="8"/>
      <c r="S96" s="8"/>
      <c r="T96" s="8"/>
    </row>
    <row r="97" spans="1:20" x14ac:dyDescent="0.25">
      <c r="A97" s="421" t="str">
        <f>IFERROR(VLOOKUP(D97,'JONS-ADPLANNING'!$G$3:$K$44,4),"")</f>
        <v/>
      </c>
      <c r="B97" s="421" t="str">
        <f>IFERROR(VLOOKUP($D97,HELPER!$A$1:$B$42,2,FALSE),"")</f>
        <v/>
      </c>
      <c r="C97" s="4"/>
      <c r="D97" s="4"/>
      <c r="E97" s="4"/>
      <c r="F97" s="112"/>
      <c r="G97" s="6"/>
      <c r="H97" s="5"/>
      <c r="I97" s="5"/>
      <c r="J97" s="6"/>
      <c r="K97" s="56"/>
      <c r="L97" s="7"/>
      <c r="M97" s="406" t="str">
        <f t="shared" si="9"/>
        <v/>
      </c>
      <c r="N97" s="53" t="str">
        <f t="shared" si="13"/>
        <v/>
      </c>
      <c r="O97" s="53">
        <f t="shared" si="10"/>
        <v>-0.01</v>
      </c>
      <c r="P97" s="53">
        <f t="shared" si="11"/>
        <v>0</v>
      </c>
      <c r="Q97" s="53">
        <f t="shared" si="12"/>
        <v>0</v>
      </c>
      <c r="R97" s="8"/>
      <c r="S97" s="8"/>
      <c r="T97" s="8"/>
    </row>
    <row r="98" spans="1:20" x14ac:dyDescent="0.25">
      <c r="A98" s="421" t="str">
        <f>IFERROR(VLOOKUP(D98,'JONS-ADPLANNING'!$G$3:$K$44,4),"")</f>
        <v/>
      </c>
      <c r="B98" s="421" t="str">
        <f>IFERROR(VLOOKUP($D98,HELPER!$A$1:$B$42,2,FALSE),"")</f>
        <v/>
      </c>
      <c r="C98" s="4"/>
      <c r="D98" s="4"/>
      <c r="E98" s="4"/>
      <c r="F98" s="112"/>
      <c r="G98" s="6"/>
      <c r="H98" s="5"/>
      <c r="I98" s="5"/>
      <c r="J98" s="6"/>
      <c r="K98" s="56"/>
      <c r="L98" s="7"/>
      <c r="M98" s="406" t="str">
        <f t="shared" si="9"/>
        <v/>
      </c>
      <c r="N98" s="53" t="str">
        <f t="shared" si="13"/>
        <v/>
      </c>
      <c r="O98" s="53">
        <f t="shared" ref="O98:O100" si="14">P98-0.01</f>
        <v>-0.01</v>
      </c>
      <c r="P98" s="53">
        <f t="shared" ref="P98:P100" si="15">Q98/2</f>
        <v>0</v>
      </c>
      <c r="Q98" s="53">
        <f t="shared" si="12"/>
        <v>0</v>
      </c>
      <c r="R98" s="8"/>
      <c r="S98" s="8"/>
      <c r="T98" s="8"/>
    </row>
    <row r="99" spans="1:20" x14ac:dyDescent="0.25">
      <c r="A99" s="421" t="str">
        <f>IFERROR(VLOOKUP(D99,'JONS-ADPLANNING'!$G$3:$K$44,4),"")</f>
        <v/>
      </c>
      <c r="B99" s="421" t="str">
        <f>IFERROR(VLOOKUP($D99,HELPER!$A$1:$B$42,2,FALSE),"")</f>
        <v/>
      </c>
      <c r="C99" s="4"/>
      <c r="D99" s="4"/>
      <c r="E99" s="4"/>
      <c r="F99" s="112"/>
      <c r="G99" s="6"/>
      <c r="H99" s="5"/>
      <c r="I99" s="5"/>
      <c r="J99" s="6"/>
      <c r="K99" s="56"/>
      <c r="L99" s="7"/>
      <c r="M99" s="406" t="str">
        <f t="shared" si="9"/>
        <v/>
      </c>
      <c r="N99" s="53" t="str">
        <f t="shared" si="13"/>
        <v/>
      </c>
      <c r="O99" s="53">
        <f t="shared" si="14"/>
        <v>-0.01</v>
      </c>
      <c r="P99" s="53">
        <f t="shared" si="15"/>
        <v>0</v>
      </c>
      <c r="Q99" s="53">
        <f t="shared" si="12"/>
        <v>0</v>
      </c>
      <c r="R99" s="8"/>
      <c r="S99" s="8"/>
      <c r="T99" s="8"/>
    </row>
    <row r="100" spans="1:20" ht="15.75" thickBot="1" x14ac:dyDescent="0.3">
      <c r="A100" s="421" t="str">
        <f>IFERROR(VLOOKUP(D100,'JONS-ADPLANNING'!$G$3:$K$44,4),"")</f>
        <v/>
      </c>
      <c r="B100" s="421" t="str">
        <f>IFERROR(VLOOKUP($D100,HELPER!$A$1:$B$42,2,FALSE),"")</f>
        <v/>
      </c>
      <c r="C100" s="4"/>
      <c r="D100" s="4"/>
      <c r="E100" s="4"/>
      <c r="F100" s="112"/>
      <c r="G100" s="6"/>
      <c r="H100" s="5"/>
      <c r="I100" s="5"/>
      <c r="J100" s="6"/>
      <c r="K100" s="56"/>
      <c r="L100" s="7"/>
      <c r="M100" s="406" t="str">
        <f t="shared" si="9"/>
        <v/>
      </c>
      <c r="N100" s="53" t="str">
        <f t="shared" si="13"/>
        <v/>
      </c>
      <c r="O100" s="53">
        <f t="shared" si="14"/>
        <v>-0.01</v>
      </c>
      <c r="P100" s="53">
        <f t="shared" si="15"/>
        <v>0</v>
      </c>
      <c r="Q100" s="53">
        <f t="shared" si="12"/>
        <v>0</v>
      </c>
      <c r="R100" s="8"/>
      <c r="S100" s="8"/>
      <c r="T100" s="8"/>
    </row>
    <row r="101" spans="1:20" ht="15.75" thickBot="1" x14ac:dyDescent="0.3">
      <c r="G101" s="100">
        <f>SUM(BOOTHPLC)</f>
        <v>0</v>
      </c>
      <c r="J101" s="100">
        <f>SUM(BOOTHACC)</f>
        <v>0</v>
      </c>
      <c r="L101" s="54"/>
      <c r="M101" s="54"/>
      <c r="N101" s="54"/>
      <c r="O101" s="54"/>
      <c r="P101" s="54"/>
      <c r="Q101" s="54"/>
    </row>
    <row r="102" spans="1:20" ht="15.75" thickBot="1" x14ac:dyDescent="0.3">
      <c r="G102" s="100">
        <f>SUBTOTAL(9,G1:G100)</f>
        <v>0</v>
      </c>
      <c r="J102" s="100">
        <f>SUBTOTAL(9,J1:J100)</f>
        <v>0</v>
      </c>
    </row>
    <row r="105" spans="1:20" x14ac:dyDescent="0.25">
      <c r="J105" s="427"/>
    </row>
    <row r="106" spans="1:20" x14ac:dyDescent="0.25">
      <c r="J106" s="427"/>
    </row>
    <row r="107" spans="1:20" x14ac:dyDescent="0.25">
      <c r="J107" s="427"/>
    </row>
    <row r="108" spans="1:20" x14ac:dyDescent="0.25">
      <c r="J108" s="427"/>
    </row>
    <row r="109" spans="1:20" x14ac:dyDescent="0.25">
      <c r="J109" s="427"/>
    </row>
  </sheetData>
  <sheetProtection sheet="1" selectLockedCells="1" autoFilter="0"/>
  <autoFilter ref="A1:T101" xr:uid="{00000000-0009-0000-0000-000003000000}">
    <sortState xmlns:xlrd2="http://schemas.microsoft.com/office/spreadsheetml/2017/richdata2" ref="A2:T101">
      <sortCondition ref="F1:F101"/>
    </sortState>
  </autoFilter>
  <sortState xmlns:xlrd2="http://schemas.microsoft.com/office/spreadsheetml/2017/richdata2" ref="A30:U43">
    <sortCondition ref="H30:H43"/>
  </sortState>
  <customSheetViews>
    <customSheetView guid="{DDFF3EBC-2CED-4439-A844-7B6A9C88C75C}" scale="80" fitToPage="1" showAutoFilter="1" hiddenColumns="1" topLeftCell="B1">
      <pane ySplit="1" topLeftCell="A2" activePane="bottomLeft" state="frozen"/>
      <selection pane="bottomLeft" activeCell="B2" sqref="B2"/>
      <rowBreaks count="1" manualBreakCount="1">
        <brk id="42" max="23" man="1"/>
      </rowBreaks>
      <colBreaks count="3" manualBreakCount="3">
        <brk id="19" max="100" man="1"/>
        <brk id="24" max="1048575" man="1"/>
        <brk id="25" max="1048575" man="1"/>
      </colBreaks>
      <pageMargins left="0.25" right="0.25" top="0.75" bottom="0.75" header="0.3" footer="0.3"/>
      <printOptions verticalCentered="1"/>
      <pageSetup scale="39" fitToHeight="0" orientation="landscape" horizontalDpi="1200" verticalDpi="1200" r:id="rId1"/>
      <autoFilter ref="A1:S101" xr:uid="{24BF6B26-83BB-449D-BEC0-B393678C111C}">
        <sortState xmlns:xlrd2="http://schemas.microsoft.com/office/spreadsheetml/2017/richdata2" ref="A2:S101">
          <sortCondition ref="E1:E101"/>
        </sortState>
      </autoFilter>
    </customSheetView>
    <customSheetView guid="{B51176BD-3A7B-4ED1-B67D-463289B65E73}" scale="80" fitToPage="1" showAutoFilter="1" hiddenColumns="1">
      <pane ySplit="1" topLeftCell="A2" activePane="bottomLeft" state="frozen"/>
      <selection pane="bottomLeft" activeCell="K9" sqref="K9"/>
      <rowBreaks count="1" manualBreakCount="1">
        <brk id="42" max="23" man="1"/>
      </rowBreaks>
      <colBreaks count="3" manualBreakCount="3">
        <brk id="19" max="100" man="1"/>
        <brk id="24" max="1048575" man="1"/>
        <brk id="25" max="1048575" man="1"/>
      </colBreaks>
      <pageMargins left="0.25" right="0.25" top="0.75" bottom="0.75" header="0.3" footer="0.3"/>
      <printOptions verticalCentered="1"/>
      <pageSetup scale="39" fitToHeight="0" orientation="landscape" horizontalDpi="1200" verticalDpi="1200" r:id="rId2"/>
      <autoFilter ref="A1:S101" xr:uid="{B28CAA42-D1E7-4CCC-BC02-11C2035B9B29}">
        <sortState xmlns:xlrd2="http://schemas.microsoft.com/office/spreadsheetml/2017/richdata2" ref="A2:S101">
          <sortCondition ref="E1:E101"/>
        </sortState>
      </autoFilter>
    </customSheetView>
  </customSheetViews>
  <mergeCells count="23">
    <mergeCell ref="V1:W1"/>
    <mergeCell ref="V2:W2"/>
    <mergeCell ref="V4:W4"/>
    <mergeCell ref="V10:W10"/>
    <mergeCell ref="Y4:Z4"/>
    <mergeCell ref="Y10:Z10"/>
    <mergeCell ref="V3:Z3"/>
    <mergeCell ref="Y1:Z1"/>
    <mergeCell ref="Y2:Z2"/>
    <mergeCell ref="AB17:AD17"/>
    <mergeCell ref="AB1:AD1"/>
    <mergeCell ref="AB7:AD7"/>
    <mergeCell ref="AC2:AC3"/>
    <mergeCell ref="AB4:AD4"/>
    <mergeCell ref="AB8:AD8"/>
    <mergeCell ref="AB9:AB10"/>
    <mergeCell ref="AC9:AC10"/>
    <mergeCell ref="AD9:AD10"/>
    <mergeCell ref="AB12:AD12"/>
    <mergeCell ref="AB13:AD13"/>
    <mergeCell ref="AB14:AB15"/>
    <mergeCell ref="AC14:AC15"/>
    <mergeCell ref="AD14:AD15"/>
  </mergeCells>
  <conditionalFormatting sqref="H2:I100">
    <cfRule type="timePeriod" dxfId="54" priority="39" timePeriod="nextMonth">
      <formula>AND(MONTH(H2)=MONTH(EDATE(TODAY(),0+1)),YEAR(H2)=YEAR(EDATE(TODAY(),0+1)))</formula>
    </cfRule>
    <cfRule type="timePeriod" dxfId="53" priority="40" timePeriod="lastMonth">
      <formula>AND(MONTH(H2)=MONTH(EDATE(TODAY(),0-1)),YEAR(H2)=YEAR(EDATE(TODAY(),0-1)))</formula>
    </cfRule>
    <cfRule type="timePeriod" dxfId="52" priority="41" timePeriod="thisMonth">
      <formula>AND(MONTH(H2)=MONTH(TODAY()),YEAR(H2)=YEAR(TODAY()))</formula>
    </cfRule>
  </conditionalFormatting>
  <conditionalFormatting sqref="R3:T100">
    <cfRule type="containsText" dxfId="51" priority="34" operator="containsText" text="Did not Attend">
      <formula>NOT(ISERROR(SEARCH("Did not Attend",R3)))</formula>
    </cfRule>
    <cfRule type="containsText" dxfId="50" priority="35" operator="containsText" text="CANCELLED">
      <formula>NOT(ISERROR(SEARCH("CANCELLED",R3)))</formula>
    </cfRule>
    <cfRule type="containsText" dxfId="49" priority="36" operator="containsText" text="BAD">
      <formula>NOT(ISERROR(SEARCH("BAD",R3)))</formula>
    </cfRule>
    <cfRule type="containsText" dxfId="48" priority="37" operator="containsText" text="OK">
      <formula>NOT(ISERROR(SEARCH("OK",R3)))</formula>
    </cfRule>
    <cfRule type="containsText" dxfId="47" priority="38" operator="containsText" text="GOOD">
      <formula>NOT(ISERROR(SEARCH("GOOD",R3)))</formula>
    </cfRule>
  </conditionalFormatting>
  <conditionalFormatting sqref="W9 Z9">
    <cfRule type="cellIs" dxfId="46" priority="33" operator="equal">
      <formula>"$E$100"</formula>
    </cfRule>
  </conditionalFormatting>
  <conditionalFormatting sqref="AD16">
    <cfRule type="cellIs" dxfId="45" priority="29" stopIfTrue="1" operator="greaterThanOrEqual">
      <formula>$AB$19</formula>
    </cfRule>
    <cfRule type="cellIs" dxfId="44" priority="30" operator="greaterThanOrEqual">
      <formula>$AC$19</formula>
    </cfRule>
    <cfRule type="cellIs" dxfId="43" priority="31" operator="lessThanOrEqual">
      <formula>$AD$19</formula>
    </cfRule>
  </conditionalFormatting>
  <conditionalFormatting sqref="AD22">
    <cfRule type="cellIs" dxfId="42" priority="23" stopIfTrue="1" operator="greaterThanOrEqual">
      <formula>$AD$6</formula>
    </cfRule>
    <cfRule type="cellIs" dxfId="41" priority="24" operator="greaterThanOrEqual">
      <formula>$AC$6</formula>
    </cfRule>
    <cfRule type="cellIs" dxfId="40" priority="25" operator="lessThanOrEqual">
      <formula>$AB$6</formula>
    </cfRule>
  </conditionalFormatting>
  <conditionalFormatting sqref="O2:Q100">
    <cfRule type="cellIs" dxfId="39" priority="20" operator="lessThanOrEqual">
      <formula>0</formula>
    </cfRule>
  </conditionalFormatting>
  <conditionalFormatting sqref="F1:F1048576">
    <cfRule type="timePeriod" dxfId="38" priority="16" timePeriod="lastMonth">
      <formula>AND(MONTH(F1)=MONTH(EDATE(TODAY(),0-1)),YEAR(F1)=YEAR(EDATE(TODAY(),0-1)))</formula>
    </cfRule>
    <cfRule type="timePeriod" dxfId="37" priority="17" timePeriod="nextMonth">
      <formula>AND(MONTH(F1)=MONTH(EDATE(TODAY(),0+1)),YEAR(F1)=YEAR(EDATE(TODAY(),0+1)))</formula>
    </cfRule>
    <cfRule type="timePeriod" dxfId="36" priority="18" timePeriod="thisMonth">
      <formula>AND(MONTH(F1)=MONTH(TODAY()),YEAR(F1)=YEAR(TODAY()))</formula>
    </cfRule>
  </conditionalFormatting>
  <conditionalFormatting sqref="N1:N1048576">
    <cfRule type="cellIs" dxfId="35" priority="13" operator="equal">
      <formula>"OK"</formula>
    </cfRule>
    <cfRule type="cellIs" dxfId="34" priority="14" operator="equal">
      <formula>"BAD"</formula>
    </cfRule>
    <cfRule type="cellIs" dxfId="33" priority="15" operator="equal">
      <formula>"GOOD"</formula>
    </cfRule>
  </conditionalFormatting>
  <conditionalFormatting sqref="F2:F100">
    <cfRule type="containsBlanks" priority="12" stopIfTrue="1">
      <formula>LEN(TRIM(F2))=0</formula>
    </cfRule>
  </conditionalFormatting>
  <conditionalFormatting sqref="R2:T2">
    <cfRule type="containsText" dxfId="32" priority="7" operator="containsText" text="Did not Attend">
      <formula>NOT(ISERROR(SEARCH("Did not Attend",R2)))</formula>
    </cfRule>
    <cfRule type="containsText" dxfId="31" priority="8" operator="containsText" text="CANCELLED">
      <formula>NOT(ISERROR(SEARCH("CANCELLED",R2)))</formula>
    </cfRule>
    <cfRule type="containsText" dxfId="30" priority="9" operator="containsText" text="BAD">
      <formula>NOT(ISERROR(SEARCH("BAD",R2)))</formula>
    </cfRule>
    <cfRule type="containsText" dxfId="29" priority="10" operator="containsText" text="OK">
      <formula>NOT(ISERROR(SEARCH("OK",R2)))</formula>
    </cfRule>
    <cfRule type="containsText" dxfId="28" priority="11" operator="containsText" text="GOOD">
      <formula>NOT(ISERROR(SEARCH("GOOD",R2)))</formula>
    </cfRule>
  </conditionalFormatting>
  <conditionalFormatting sqref="C2:C100">
    <cfRule type="duplicateValues" dxfId="27" priority="6"/>
  </conditionalFormatting>
  <conditionalFormatting sqref="Y2:Z2">
    <cfRule type="containsBlanks" dxfId="26" priority="4">
      <formula>LEN(TRIM(Y2))=0</formula>
    </cfRule>
  </conditionalFormatting>
  <conditionalFormatting sqref="D2:D100">
    <cfRule type="expression" dxfId="25" priority="1">
      <formula>IF(AND(NOT(ISBLANK($E2)),ISBLANK($D2)),1)</formula>
    </cfRule>
  </conditionalFormatting>
  <printOptions verticalCentered="1"/>
  <pageMargins left="0.25" right="0.25" top="0.75" bottom="0.75" header="0.3" footer="0.3"/>
  <pageSetup scale="39" fitToHeight="0" orientation="landscape" horizontalDpi="1200" verticalDpi="1200" r:id="rId3"/>
  <rowBreaks count="1" manualBreakCount="1">
    <brk id="42" max="23" man="1"/>
  </rowBreaks>
  <colBreaks count="3" manualBreakCount="3">
    <brk id="20" max="100" man="1"/>
    <brk id="25" max="1048575" man="1"/>
    <brk id="2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tabColor rgb="FF0000FF"/>
    <pageSetUpPr fitToPage="1"/>
  </sheetPr>
  <dimension ref="A1:U144"/>
  <sheetViews>
    <sheetView workbookViewId="0">
      <selection activeCell="C2" sqref="C2"/>
    </sheetView>
  </sheetViews>
  <sheetFormatPr defaultRowHeight="15" x14ac:dyDescent="0.25"/>
  <cols>
    <col min="1" max="1" width="9.28515625" style="45" customWidth="1"/>
    <col min="2" max="2" width="11.140625" style="45" bestFit="1" customWidth="1"/>
    <col min="3" max="3" width="8.5703125" style="45" bestFit="1" customWidth="1"/>
    <col min="4" max="4" width="13.7109375" style="45" bestFit="1" customWidth="1"/>
    <col min="5" max="5" width="19.5703125" style="45" bestFit="1" customWidth="1"/>
    <col min="6" max="7" width="17.7109375" style="45" bestFit="1" customWidth="1"/>
    <col min="8" max="8" width="13.7109375" style="45" bestFit="1" customWidth="1"/>
    <col min="9" max="10" width="16.140625" style="45" bestFit="1" customWidth="1"/>
    <col min="11" max="11" width="17" style="45" bestFit="1" customWidth="1"/>
    <col min="12" max="13" width="16.140625" style="45" customWidth="1"/>
    <col min="14" max="14" width="18" style="45" bestFit="1" customWidth="1"/>
    <col min="16" max="16" width="9.7109375" bestFit="1" customWidth="1"/>
    <col min="18" max="18" width="1" customWidth="1"/>
    <col min="21" max="21" width="11.42578125" bestFit="1" customWidth="1"/>
  </cols>
  <sheetData>
    <row r="1" spans="1:21" x14ac:dyDescent="0.25">
      <c r="A1" s="110" t="s">
        <v>139</v>
      </c>
      <c r="B1" s="110" t="s">
        <v>310</v>
      </c>
      <c r="C1" s="110" t="s">
        <v>20</v>
      </c>
      <c r="D1" s="110" t="s">
        <v>52</v>
      </c>
      <c r="E1" s="110" t="s">
        <v>53</v>
      </c>
      <c r="F1" s="111" t="s">
        <v>84</v>
      </c>
      <c r="G1" s="110" t="s">
        <v>60</v>
      </c>
      <c r="H1" s="111" t="s">
        <v>256</v>
      </c>
      <c r="I1" s="111" t="s">
        <v>83</v>
      </c>
      <c r="J1" s="110" t="s">
        <v>8</v>
      </c>
      <c r="K1" s="110" t="s">
        <v>182</v>
      </c>
      <c r="L1" s="110" t="s">
        <v>241</v>
      </c>
      <c r="M1" s="110" t="s">
        <v>242</v>
      </c>
      <c r="N1" s="110" t="s">
        <v>243</v>
      </c>
      <c r="P1" s="706" t="s">
        <v>1</v>
      </c>
      <c r="Q1" s="707"/>
      <c r="R1" s="236"/>
      <c r="S1" s="146"/>
      <c r="T1" s="665" t="s">
        <v>54</v>
      </c>
      <c r="U1" s="667"/>
    </row>
    <row r="2" spans="1:21" ht="15.75" thickBot="1" x14ac:dyDescent="0.3">
      <c r="A2" s="422" t="str">
        <f>IFERROR(VLOOKUP(D2,'JONS-ADPLANNING'!$G$3:$K$44,2),"")</f>
        <v/>
      </c>
      <c r="B2" s="422" t="str">
        <f>IFERROR(VLOOKUP($D2,HELPER!$A$1:$B$42,2,FALSE),"")</f>
        <v/>
      </c>
      <c r="C2" s="8"/>
      <c r="D2" s="8"/>
      <c r="E2" s="8"/>
      <c r="F2" s="43"/>
      <c r="G2" s="6"/>
      <c r="H2" s="43"/>
      <c r="I2" s="43"/>
      <c r="J2" s="6"/>
      <c r="K2" s="6"/>
      <c r="L2" s="250"/>
      <c r="M2" s="250"/>
      <c r="N2" s="251">
        <f t="shared" ref="N2:N33" si="0">IFERROR(M2/L2,0)</f>
        <v>0</v>
      </c>
      <c r="P2" s="702">
        <f>'BUDGET OVERVIEW'!$B$1</f>
        <v>2022</v>
      </c>
      <c r="Q2" s="703"/>
      <c r="R2" s="38"/>
      <c r="S2" s="237"/>
      <c r="T2" s="704"/>
      <c r="U2" s="705"/>
    </row>
    <row r="3" spans="1:21" ht="15.75" thickBot="1" x14ac:dyDescent="0.3">
      <c r="A3" s="422" t="str">
        <f>IFERROR(VLOOKUP(D3,'JONS-ADPLANNING'!$G$3:$K$44,2),"")</f>
        <v/>
      </c>
      <c r="B3" s="422" t="str">
        <f>IFERROR(VLOOKUP($D3,HELPER!$A$1:$B$42,2,FALSE),"")</f>
        <v/>
      </c>
      <c r="C3" s="8"/>
      <c r="D3" s="8"/>
      <c r="E3" s="8"/>
      <c r="F3" s="43"/>
      <c r="G3" s="6"/>
      <c r="H3" s="43"/>
      <c r="I3" s="43"/>
      <c r="J3" s="6"/>
      <c r="K3" s="6"/>
      <c r="L3" s="250"/>
      <c r="M3" s="250"/>
      <c r="N3" s="251">
        <f t="shared" si="0"/>
        <v>0</v>
      </c>
      <c r="P3" s="694" t="s">
        <v>55</v>
      </c>
      <c r="Q3" s="695"/>
      <c r="R3" s="695"/>
      <c r="S3" s="695"/>
      <c r="T3" s="695"/>
      <c r="U3" s="696"/>
    </row>
    <row r="4" spans="1:21" x14ac:dyDescent="0.25">
      <c r="A4" s="422" t="str">
        <f>IFERROR(VLOOKUP(D4,'JONS-ADPLANNING'!$G$3:$K$44,2),"")</f>
        <v/>
      </c>
      <c r="B4" s="422" t="str">
        <f>IFERROR(VLOOKUP($D4,HELPER!$A$1:$B$42,2,FALSE),"")</f>
        <v/>
      </c>
      <c r="C4" s="8"/>
      <c r="D4" s="8"/>
      <c r="E4" s="8"/>
      <c r="F4" s="43"/>
      <c r="G4" s="6"/>
      <c r="H4" s="43"/>
      <c r="I4" s="43"/>
      <c r="J4" s="6"/>
      <c r="K4" s="6"/>
      <c r="L4" s="250"/>
      <c r="M4" s="250"/>
      <c r="N4" s="251">
        <f t="shared" si="0"/>
        <v>0</v>
      </c>
      <c r="P4" s="690" t="s">
        <v>7</v>
      </c>
      <c r="Q4" s="691"/>
      <c r="R4" s="13"/>
      <c r="S4" s="692" t="s">
        <v>22</v>
      </c>
      <c r="T4" s="708"/>
      <c r="U4" s="229" t="s">
        <v>64</v>
      </c>
    </row>
    <row r="5" spans="1:21" x14ac:dyDescent="0.25">
      <c r="A5" s="422" t="str">
        <f>IFERROR(VLOOKUP(D5,'JONS-ADPLANNING'!$G$3:$K$44,2),"")</f>
        <v/>
      </c>
      <c r="B5" s="422" t="str">
        <f>IFERROR(VLOOKUP($D5,HELPER!$A$1:$B$42,2,FALSE),"")</f>
        <v/>
      </c>
      <c r="C5" s="8"/>
      <c r="D5" s="8"/>
      <c r="E5" s="8"/>
      <c r="F5" s="43"/>
      <c r="G5" s="6"/>
      <c r="H5" s="43"/>
      <c r="I5" s="43"/>
      <c r="J5" s="6"/>
      <c r="K5" s="6"/>
      <c r="L5" s="250"/>
      <c r="M5" s="250"/>
      <c r="N5" s="251">
        <f t="shared" si="0"/>
        <v>0</v>
      </c>
      <c r="P5" s="218" t="s">
        <v>2</v>
      </c>
      <c r="Q5" s="49">
        <f>SUMIFS(SMPLC,SMPLD,"&gt;="&amp;SPOCT,SMPLD,"&lt;="&amp;EOMONTH(SPOCT,2))</f>
        <v>0</v>
      </c>
      <c r="R5" s="220"/>
      <c r="S5" s="224" t="s">
        <v>2</v>
      </c>
      <c r="T5" s="226">
        <f>SUMIFS(SMACC,SMDAP,"&gt;="&amp;SPOCT,SMDAP,"&lt;="&amp;EOMONTH(SPOCT,2))</f>
        <v>0</v>
      </c>
      <c r="U5" s="230">
        <f>Q5-T5</f>
        <v>0</v>
      </c>
    </row>
    <row r="6" spans="1:21" x14ac:dyDescent="0.25">
      <c r="A6" s="422" t="str">
        <f>IFERROR(VLOOKUP(D6,'JONS-ADPLANNING'!$G$3:$K$44,2),"")</f>
        <v/>
      </c>
      <c r="B6" s="422" t="str">
        <f>IFERROR(VLOOKUP($D6,HELPER!$A$1:$B$42,2,FALSE),"")</f>
        <v/>
      </c>
      <c r="C6" s="8"/>
      <c r="D6" s="8"/>
      <c r="E6" s="8"/>
      <c r="F6" s="43"/>
      <c r="G6" s="6"/>
      <c r="H6" s="43"/>
      <c r="I6" s="43"/>
      <c r="J6" s="6"/>
      <c r="K6" s="6"/>
      <c r="L6" s="250"/>
      <c r="M6" s="250"/>
      <c r="N6" s="251">
        <f t="shared" si="0"/>
        <v>0</v>
      </c>
      <c r="P6" s="218" t="s">
        <v>3</v>
      </c>
      <c r="Q6" s="49">
        <f>SUMIFS(SMPLC,SMPLD,"&gt;="&amp;SPJAN,SMPLD,"&lt;="&amp;EOMONTH(SPJAN,2))</f>
        <v>0</v>
      </c>
      <c r="R6" s="220"/>
      <c r="S6" s="224" t="s">
        <v>3</v>
      </c>
      <c r="T6" s="226">
        <f>SUMIFS(SMACC,SMDAP,"&gt;="&amp;SPJAN,SMDAP,"&lt;="&amp;EOMONTH(SPJAN,2))</f>
        <v>0</v>
      </c>
      <c r="U6" s="231">
        <f t="shared" ref="U6:U23" si="1">Q6-T6</f>
        <v>0</v>
      </c>
    </row>
    <row r="7" spans="1:21" x14ac:dyDescent="0.25">
      <c r="A7" s="422" t="str">
        <f>IFERROR(VLOOKUP(D7,'JONS-ADPLANNING'!$G$3:$K$44,2),"")</f>
        <v/>
      </c>
      <c r="B7" s="422" t="str">
        <f>IFERROR(VLOOKUP($D7,HELPER!$A$1:$B$42,2,FALSE),"")</f>
        <v/>
      </c>
      <c r="C7" s="8"/>
      <c r="D7" s="8"/>
      <c r="E7" s="8"/>
      <c r="F7" s="43"/>
      <c r="G7" s="6"/>
      <c r="H7" s="43"/>
      <c r="I7" s="43"/>
      <c r="J7" s="6"/>
      <c r="K7" s="6"/>
      <c r="L7" s="250"/>
      <c r="M7" s="250"/>
      <c r="N7" s="251">
        <f t="shared" si="0"/>
        <v>0</v>
      </c>
      <c r="P7" s="218" t="s">
        <v>4</v>
      </c>
      <c r="Q7" s="49">
        <f>SUMIFS(SMPLC,SMPLD,"&gt;="&amp;SPAPR,SMPLD,"&lt;="&amp;EOMONTH(SPAPR,2))</f>
        <v>0</v>
      </c>
      <c r="R7" s="220"/>
      <c r="S7" s="224" t="s">
        <v>4</v>
      </c>
      <c r="T7" s="226">
        <f>SUMIFS(SMACC,SMDAP,"&gt;="&amp;SPAPR,SMDAP,"&lt;="&amp;EOMONTH(SPAPR,2))</f>
        <v>0</v>
      </c>
      <c r="U7" s="231">
        <f t="shared" si="1"/>
        <v>0</v>
      </c>
    </row>
    <row r="8" spans="1:21" ht="15.75" thickBot="1" x14ac:dyDescent="0.3">
      <c r="A8" s="422" t="str">
        <f>IFERROR(VLOOKUP(D8,'JONS-ADPLANNING'!$G$3:$K$44,2),"")</f>
        <v/>
      </c>
      <c r="B8" s="422" t="str">
        <f>IFERROR(VLOOKUP($D8,HELPER!$A$1:$B$42,2,FALSE),"")</f>
        <v/>
      </c>
      <c r="C8" s="8"/>
      <c r="D8" s="8"/>
      <c r="E8" s="8"/>
      <c r="F8" s="43"/>
      <c r="G8" s="6"/>
      <c r="H8" s="43"/>
      <c r="I8" s="43"/>
      <c r="J8" s="6"/>
      <c r="K8" s="6"/>
      <c r="L8" s="250"/>
      <c r="M8" s="250"/>
      <c r="N8" s="251">
        <f t="shared" si="0"/>
        <v>0</v>
      </c>
      <c r="P8" s="219" t="s">
        <v>5</v>
      </c>
      <c r="Q8" s="109">
        <f>SUMIFS(SMPLC,SMPLD,"&gt;="&amp;SPJUL,SMPLD,"&lt;="&amp;EOMONTH(SPJUL,2))</f>
        <v>0</v>
      </c>
      <c r="R8" s="220"/>
      <c r="S8" s="225" t="s">
        <v>5</v>
      </c>
      <c r="T8" s="227">
        <f>SUMIFS(SMACC,SMDAP,"&gt;="&amp;SPJUL,SMDAP,"&lt;="&amp;EOMONTH(SPJUL,2))</f>
        <v>0</v>
      </c>
      <c r="U8" s="232">
        <f t="shared" si="1"/>
        <v>0</v>
      </c>
    </row>
    <row r="9" spans="1:21" ht="15.75" thickBot="1" x14ac:dyDescent="0.3">
      <c r="A9" s="422" t="str">
        <f>IFERROR(VLOOKUP(D9,'JONS-ADPLANNING'!$G$3:$K$44,2),"")</f>
        <v/>
      </c>
      <c r="B9" s="422" t="str">
        <f>IFERROR(VLOOKUP($D9,HELPER!$A$1:$B$42,2,FALSE),"")</f>
        <v/>
      </c>
      <c r="C9" s="8"/>
      <c r="D9" s="8"/>
      <c r="E9" s="8"/>
      <c r="F9" s="43"/>
      <c r="G9" s="6"/>
      <c r="H9" s="43"/>
      <c r="I9" s="43"/>
      <c r="J9" s="6"/>
      <c r="K9" s="6"/>
      <c r="L9" s="250"/>
      <c r="M9" s="250"/>
      <c r="N9" s="251">
        <f t="shared" si="0"/>
        <v>0</v>
      </c>
      <c r="P9" s="221" t="s">
        <v>6</v>
      </c>
      <c r="Q9" s="28">
        <f>SUM(Q5:Q8)</f>
        <v>0</v>
      </c>
      <c r="R9" s="220"/>
      <c r="S9" s="222" t="s">
        <v>6</v>
      </c>
      <c r="T9" s="228">
        <f>SUM(T5:T8)</f>
        <v>0</v>
      </c>
      <c r="U9" s="233">
        <f t="shared" si="1"/>
        <v>0</v>
      </c>
    </row>
    <row r="10" spans="1:21" x14ac:dyDescent="0.25">
      <c r="A10" s="422" t="str">
        <f>IFERROR(VLOOKUP(D10,'JONS-ADPLANNING'!$G$3:$K$44,2),"")</f>
        <v/>
      </c>
      <c r="B10" s="422" t="str">
        <f>IFERROR(VLOOKUP($D10,HELPER!$A$1:$B$42,2,FALSE),"")</f>
        <v/>
      </c>
      <c r="C10" s="8"/>
      <c r="D10" s="8"/>
      <c r="E10" s="8"/>
      <c r="F10" s="43"/>
      <c r="G10" s="6"/>
      <c r="H10" s="43"/>
      <c r="I10" s="43"/>
      <c r="J10" s="6"/>
      <c r="K10" s="6"/>
      <c r="L10" s="250"/>
      <c r="M10" s="250"/>
      <c r="N10" s="251">
        <f t="shared" si="0"/>
        <v>0</v>
      </c>
      <c r="P10" s="698" t="s">
        <v>21</v>
      </c>
      <c r="Q10" s="699"/>
      <c r="R10" s="220"/>
      <c r="S10" s="700" t="s">
        <v>21</v>
      </c>
      <c r="T10" s="701"/>
      <c r="U10" s="234">
        <f t="shared" si="1"/>
        <v>0</v>
      </c>
    </row>
    <row r="11" spans="1:21" x14ac:dyDescent="0.25">
      <c r="A11" s="422" t="str">
        <f>IFERROR(VLOOKUP(D11,'JONS-ADPLANNING'!$G$3:$K$44,2),"")</f>
        <v/>
      </c>
      <c r="B11" s="422" t="str">
        <f>IFERROR(VLOOKUP($D11,HELPER!$A$1:$B$42,2,FALSE),"")</f>
        <v/>
      </c>
      <c r="C11" s="8"/>
      <c r="D11" s="8"/>
      <c r="E11" s="8"/>
      <c r="F11" s="43"/>
      <c r="G11" s="6"/>
      <c r="H11" s="43"/>
      <c r="I11" s="43"/>
      <c r="J11" s="6"/>
      <c r="K11" s="6"/>
      <c r="L11" s="250"/>
      <c r="M11" s="250"/>
      <c r="N11" s="251">
        <f t="shared" si="0"/>
        <v>0</v>
      </c>
      <c r="P11" s="217">
        <f>DATE(($P$2-1),10,1)</f>
        <v>44470</v>
      </c>
      <c r="Q11" s="49">
        <f>SUMIFS(SMPLC,SMPLD,"&gt;="&amp;SPOCT,SMPLD,"&lt;="&amp;EOMONTH(SPOCT,0))</f>
        <v>0</v>
      </c>
      <c r="R11" s="220"/>
      <c r="S11" s="224" t="s">
        <v>18</v>
      </c>
      <c r="T11" s="226">
        <f>SUMIFS(SMACC,SMDAP,"&gt;="&amp;SPOCT,SMDAP,"&lt;="&amp;EOMONTH(SPOCT,0))</f>
        <v>0</v>
      </c>
      <c r="U11" s="231">
        <f t="shared" si="1"/>
        <v>0</v>
      </c>
    </row>
    <row r="12" spans="1:21" x14ac:dyDescent="0.25">
      <c r="A12" s="422" t="str">
        <f>IFERROR(VLOOKUP(D12,'JONS-ADPLANNING'!$G$3:$K$44,2),"")</f>
        <v/>
      </c>
      <c r="B12" s="422" t="str">
        <f>IFERROR(VLOOKUP($D12,HELPER!$A$1:$B$42,2,FALSE),"")</f>
        <v/>
      </c>
      <c r="C12" s="8"/>
      <c r="D12" s="8"/>
      <c r="E12" s="8"/>
      <c r="F12" s="43"/>
      <c r="G12" s="6"/>
      <c r="H12" s="43"/>
      <c r="I12" s="43"/>
      <c r="J12" s="6"/>
      <c r="K12" s="6"/>
      <c r="L12" s="250"/>
      <c r="M12" s="250"/>
      <c r="N12" s="251">
        <f t="shared" si="0"/>
        <v>0</v>
      </c>
      <c r="P12" s="217">
        <f>DATE(($P$2-1),11,1)</f>
        <v>44501</v>
      </c>
      <c r="Q12" s="49">
        <f>SUMIFS(SMPLC,SMPLD,"&gt;="&amp;SPNOV,SMPLD,"&lt;="&amp;EOMONTH(SPNOV,0))</f>
        <v>0</v>
      </c>
      <c r="R12" s="220"/>
      <c r="S12" s="224" t="s">
        <v>19</v>
      </c>
      <c r="T12" s="226">
        <f>SUMIFS(SMACC,SMDAP,"&gt;="&amp;SPNOV,SMDAP,"&lt;="&amp;EOMONTH(SPNOV,0))</f>
        <v>0</v>
      </c>
      <c r="U12" s="231">
        <f t="shared" si="1"/>
        <v>0</v>
      </c>
    </row>
    <row r="13" spans="1:21" x14ac:dyDescent="0.25">
      <c r="A13" s="422" t="str">
        <f>IFERROR(VLOOKUP(D13,'JONS-ADPLANNING'!$G$3:$K$44,2),"")</f>
        <v/>
      </c>
      <c r="B13" s="422" t="str">
        <f>IFERROR(VLOOKUP($D13,HELPER!$A$1:$B$42,2,FALSE),"")</f>
        <v/>
      </c>
      <c r="C13" s="8"/>
      <c r="D13" s="8"/>
      <c r="E13" s="8"/>
      <c r="F13" s="43"/>
      <c r="G13" s="6"/>
      <c r="H13" s="43"/>
      <c r="I13" s="43"/>
      <c r="J13" s="6"/>
      <c r="K13" s="6"/>
      <c r="L13" s="250"/>
      <c r="M13" s="250"/>
      <c r="N13" s="251">
        <f t="shared" si="0"/>
        <v>0</v>
      </c>
      <c r="P13" s="217">
        <f>DATE(($P$2-1),12,1)</f>
        <v>44531</v>
      </c>
      <c r="Q13" s="49">
        <f>SUMIFS(SMPLC,SMPLD,"&gt;="&amp;SPDEC,SMPLD,"&lt;="&amp;EOMONTH(SPDEC,0))</f>
        <v>0</v>
      </c>
      <c r="R13" s="220"/>
      <c r="S13" s="224" t="s">
        <v>20</v>
      </c>
      <c r="T13" s="226">
        <f>SUMIFS(SMACC,SMDAP,"&gt;="&amp;SPDEC,SMDAP,"&lt;="&amp;EOMONTH(SPDEC,0))</f>
        <v>0</v>
      </c>
      <c r="U13" s="231">
        <f t="shared" si="1"/>
        <v>0</v>
      </c>
    </row>
    <row r="14" spans="1:21" x14ac:dyDescent="0.25">
      <c r="A14" s="422" t="str">
        <f>IFERROR(VLOOKUP(D14,'JONS-ADPLANNING'!$G$3:$K$44,2),"")</f>
        <v/>
      </c>
      <c r="B14" s="422" t="str">
        <f>IFERROR(VLOOKUP($D14,HELPER!$A$1:$B$42,2,FALSE),"")</f>
        <v/>
      </c>
      <c r="C14" s="8"/>
      <c r="D14" s="8"/>
      <c r="E14" s="8"/>
      <c r="F14" s="43"/>
      <c r="G14" s="6"/>
      <c r="H14" s="43"/>
      <c r="I14" s="43"/>
      <c r="J14" s="6"/>
      <c r="K14" s="6"/>
      <c r="L14" s="250"/>
      <c r="M14" s="250"/>
      <c r="N14" s="251">
        <f t="shared" si="0"/>
        <v>0</v>
      </c>
      <c r="P14" s="217">
        <f>DATE($P$2,1,1)</f>
        <v>44562</v>
      </c>
      <c r="Q14" s="49">
        <f>SUMIFS(SMPLC,SMPLD,"&gt;="&amp;SPJAN,SMPLD,"&lt;="&amp;EOMONTH(SPJAN,0))</f>
        <v>0</v>
      </c>
      <c r="R14" s="220"/>
      <c r="S14" s="224" t="s">
        <v>9</v>
      </c>
      <c r="T14" s="226">
        <f>SUMIFS(SMACC,SMDAP,"&gt;="&amp;SPJAN,SMDAP,"&lt;="&amp;EOMONTH(SPJAN,0))</f>
        <v>0</v>
      </c>
      <c r="U14" s="231">
        <f t="shared" si="1"/>
        <v>0</v>
      </c>
    </row>
    <row r="15" spans="1:21" x14ac:dyDescent="0.25">
      <c r="A15" s="422" t="str">
        <f>IFERROR(VLOOKUP(D15,'JONS-ADPLANNING'!$G$3:$K$44,2),"")</f>
        <v/>
      </c>
      <c r="B15" s="422" t="str">
        <f>IFERROR(VLOOKUP($D15,HELPER!$A$1:$B$42,2,FALSE),"")</f>
        <v/>
      </c>
      <c r="C15" s="8"/>
      <c r="D15" s="8"/>
      <c r="E15" s="8"/>
      <c r="F15" s="43"/>
      <c r="G15" s="6"/>
      <c r="H15" s="43"/>
      <c r="I15" s="43"/>
      <c r="J15" s="6"/>
      <c r="K15" s="6"/>
      <c r="L15" s="250"/>
      <c r="M15" s="250"/>
      <c r="N15" s="251">
        <f t="shared" si="0"/>
        <v>0</v>
      </c>
      <c r="P15" s="217">
        <f>DATE($P$2,2,1)</f>
        <v>44593</v>
      </c>
      <c r="Q15" s="49">
        <f>SUMIFS(SMPLC,SMPLD,"&gt;="&amp;SPFEB,SMPLD,"&lt;="&amp;EOMONTH(SPFEB,0))</f>
        <v>0</v>
      </c>
      <c r="R15" s="220"/>
      <c r="S15" s="224" t="s">
        <v>10</v>
      </c>
      <c r="T15" s="226">
        <f>SUMIFS(SMACC,SMDAP,"&gt;="&amp;SPFEB,SMDAP,"&lt;="&amp;EOMONTH(SPFEB,0))</f>
        <v>0</v>
      </c>
      <c r="U15" s="231">
        <f t="shared" si="1"/>
        <v>0</v>
      </c>
    </row>
    <row r="16" spans="1:21" x14ac:dyDescent="0.25">
      <c r="A16" s="422" t="str">
        <f>IFERROR(VLOOKUP(D16,'JONS-ADPLANNING'!$G$3:$K$44,2),"")</f>
        <v/>
      </c>
      <c r="B16" s="422" t="str">
        <f>IFERROR(VLOOKUP($D16,HELPER!$A$1:$B$42,2,FALSE),"")</f>
        <v/>
      </c>
      <c r="C16" s="8"/>
      <c r="D16" s="8"/>
      <c r="E16" s="8"/>
      <c r="F16" s="43"/>
      <c r="G16" s="6"/>
      <c r="H16" s="43"/>
      <c r="I16" s="43"/>
      <c r="J16" s="6"/>
      <c r="K16" s="6"/>
      <c r="L16" s="250"/>
      <c r="M16" s="250"/>
      <c r="N16" s="251">
        <f t="shared" si="0"/>
        <v>0</v>
      </c>
      <c r="P16" s="217">
        <f>DATE($P$2,3,1)</f>
        <v>44621</v>
      </c>
      <c r="Q16" s="49">
        <f>SUMIFS(SMPLC,SMPLD,"&gt;="&amp;SPMAR,SMPLD,"&lt;="&amp;EOMONTH(SPMAR,0))</f>
        <v>0</v>
      </c>
      <c r="R16" s="220"/>
      <c r="S16" s="224" t="s">
        <v>11</v>
      </c>
      <c r="T16" s="226">
        <f>SUMIFS(SMACC,SMDAP,"&gt;="&amp;SPMAR,SMDAP,"&lt;="&amp;EOMONTH(SPMAR,0))</f>
        <v>0</v>
      </c>
      <c r="U16" s="231">
        <f t="shared" si="1"/>
        <v>0</v>
      </c>
    </row>
    <row r="17" spans="1:21" x14ac:dyDescent="0.25">
      <c r="A17" s="422" t="str">
        <f>IFERROR(VLOOKUP(D17,'JONS-ADPLANNING'!$G$3:$K$44,2),"")</f>
        <v/>
      </c>
      <c r="B17" s="422" t="str">
        <f>IFERROR(VLOOKUP($D17,HELPER!$A$1:$B$42,2,FALSE),"")</f>
        <v/>
      </c>
      <c r="C17" s="8"/>
      <c r="D17" s="8"/>
      <c r="E17" s="8"/>
      <c r="F17" s="43"/>
      <c r="G17" s="6"/>
      <c r="H17" s="43"/>
      <c r="I17" s="43"/>
      <c r="J17" s="6"/>
      <c r="K17" s="6"/>
      <c r="L17" s="250"/>
      <c r="M17" s="250"/>
      <c r="N17" s="251">
        <f t="shared" si="0"/>
        <v>0</v>
      </c>
      <c r="P17" s="217">
        <f>DATE($P$2,4,1)</f>
        <v>44652</v>
      </c>
      <c r="Q17" s="49">
        <f>SUMIFS(SMPLC,SMPLD,"&gt;="&amp;SPAPR,SMPLD,"&lt;="&amp;EOMONTH(SPAPR,0))</f>
        <v>0</v>
      </c>
      <c r="R17" s="220"/>
      <c r="S17" s="224" t="s">
        <v>12</v>
      </c>
      <c r="T17" s="226">
        <f>SUMIFS(SMACC,SMDAP,"&gt;="&amp;SPAPR,SMDAP,"&lt;="&amp;EOMONTH(SPAPR,0))</f>
        <v>0</v>
      </c>
      <c r="U17" s="231">
        <f t="shared" si="1"/>
        <v>0</v>
      </c>
    </row>
    <row r="18" spans="1:21" x14ac:dyDescent="0.25">
      <c r="A18" s="422" t="str">
        <f>IFERROR(VLOOKUP(D18,'JONS-ADPLANNING'!$G$3:$K$44,2),"")</f>
        <v/>
      </c>
      <c r="B18" s="422" t="str">
        <f>IFERROR(VLOOKUP($D18,HELPER!$A$1:$B$42,2,FALSE),"")</f>
        <v/>
      </c>
      <c r="C18" s="8"/>
      <c r="D18" s="8"/>
      <c r="E18" s="8"/>
      <c r="F18" s="43"/>
      <c r="G18" s="6"/>
      <c r="H18" s="43"/>
      <c r="I18" s="43"/>
      <c r="J18" s="6"/>
      <c r="K18" s="6"/>
      <c r="L18" s="250"/>
      <c r="M18" s="250"/>
      <c r="N18" s="251">
        <f t="shared" si="0"/>
        <v>0</v>
      </c>
      <c r="P18" s="217">
        <f>DATE($P$2,5,1)</f>
        <v>44682</v>
      </c>
      <c r="Q18" s="49">
        <f>SUMIFS(SMPLC,SMPLD,"&gt;="&amp;SPMAY,SMPLD,"&lt;="&amp;EOMONTH(SPMAY,0))</f>
        <v>0</v>
      </c>
      <c r="R18" s="220"/>
      <c r="S18" s="224" t="s">
        <v>13</v>
      </c>
      <c r="T18" s="226">
        <f>SUMIFS(SMACC,SMDAP,"&gt;="&amp;SPMAY,SMDAP,"&lt;="&amp;EOMONTH(SPMAY,0))</f>
        <v>0</v>
      </c>
      <c r="U18" s="231">
        <f t="shared" si="1"/>
        <v>0</v>
      </c>
    </row>
    <row r="19" spans="1:21" x14ac:dyDescent="0.25">
      <c r="A19" s="422" t="str">
        <f>IFERROR(VLOOKUP(D19,'JONS-ADPLANNING'!$G$3:$K$44,2),"")</f>
        <v/>
      </c>
      <c r="B19" s="422" t="str">
        <f>IFERROR(VLOOKUP($D19,HELPER!$A$1:$B$42,2,FALSE),"")</f>
        <v/>
      </c>
      <c r="C19" s="8"/>
      <c r="D19" s="8"/>
      <c r="E19" s="8"/>
      <c r="F19" s="43"/>
      <c r="G19" s="6"/>
      <c r="H19" s="43"/>
      <c r="I19" s="43"/>
      <c r="J19" s="6"/>
      <c r="K19" s="6"/>
      <c r="L19" s="250"/>
      <c r="M19" s="250"/>
      <c r="N19" s="251">
        <f t="shared" si="0"/>
        <v>0</v>
      </c>
      <c r="P19" s="217">
        <f>DATE($P$2,6,1)</f>
        <v>44713</v>
      </c>
      <c r="Q19" s="49">
        <f>SUMIFS(SMPLC,SMPLD,"&gt;="&amp;SPJUN,SMPLD,"&lt;="&amp;EOMONTH(SPJUN,0))</f>
        <v>0</v>
      </c>
      <c r="R19" s="220"/>
      <c r="S19" s="224" t="s">
        <v>14</v>
      </c>
      <c r="T19" s="226">
        <f>SUMIFS(SMACC,SMDAP,"&gt;="&amp;SPJUN,SMDAP,"&lt;="&amp;EOMONTH(SPJUN,0))</f>
        <v>0</v>
      </c>
      <c r="U19" s="231">
        <f t="shared" si="1"/>
        <v>0</v>
      </c>
    </row>
    <row r="20" spans="1:21" x14ac:dyDescent="0.25">
      <c r="A20" s="422" t="str">
        <f>IFERROR(VLOOKUP(D20,'JONS-ADPLANNING'!$G$3:$K$44,2),"")</f>
        <v/>
      </c>
      <c r="B20" s="422" t="str">
        <f>IFERROR(VLOOKUP($D20,HELPER!$A$1:$B$42,2,FALSE),"")</f>
        <v/>
      </c>
      <c r="C20" s="8"/>
      <c r="D20" s="8"/>
      <c r="E20" s="8"/>
      <c r="F20" s="43"/>
      <c r="G20" s="6"/>
      <c r="H20" s="43"/>
      <c r="I20" s="43"/>
      <c r="J20" s="6"/>
      <c r="K20" s="6"/>
      <c r="L20" s="250"/>
      <c r="M20" s="250"/>
      <c r="N20" s="251">
        <f t="shared" si="0"/>
        <v>0</v>
      </c>
      <c r="P20" s="217">
        <f>DATE($P$2,7,1)</f>
        <v>44743</v>
      </c>
      <c r="Q20" s="49">
        <f>SUMIFS(SMPLC,SMPLD,"&gt;="&amp;SPJUL,SMPLD,"&lt;="&amp;EOMONTH(SPJUL,0))</f>
        <v>0</v>
      </c>
      <c r="R20" s="220"/>
      <c r="S20" s="224" t="s">
        <v>15</v>
      </c>
      <c r="T20" s="226">
        <f>SUMIFS(SMACC,SMDAP,"&gt;="&amp;SPJUL,SMDAP,"&lt;="&amp;EOMONTH(SPJUL,0))</f>
        <v>0</v>
      </c>
      <c r="U20" s="231">
        <f t="shared" si="1"/>
        <v>0</v>
      </c>
    </row>
    <row r="21" spans="1:21" x14ac:dyDescent="0.25">
      <c r="A21" s="422" t="str">
        <f>IFERROR(VLOOKUP(D21,'JONS-ADPLANNING'!$G$3:$K$44,2),"")</f>
        <v/>
      </c>
      <c r="B21" s="422" t="str">
        <f>IFERROR(VLOOKUP($D21,HELPER!$A$1:$B$42,2,FALSE),"")</f>
        <v/>
      </c>
      <c r="C21" s="8"/>
      <c r="D21" s="8"/>
      <c r="E21" s="8"/>
      <c r="F21" s="43"/>
      <c r="G21" s="6"/>
      <c r="H21" s="43"/>
      <c r="I21" s="43"/>
      <c r="J21" s="6"/>
      <c r="K21" s="6"/>
      <c r="L21" s="250"/>
      <c r="M21" s="250"/>
      <c r="N21" s="251">
        <f t="shared" si="0"/>
        <v>0</v>
      </c>
      <c r="P21" s="217">
        <f>DATE($P$2,8,1)</f>
        <v>44774</v>
      </c>
      <c r="Q21" s="49">
        <f>SUMIFS(SMPLC,SMPLD,"&gt;="&amp;SPAUG,SMPLD,"&lt;="&amp;EOMONTH(SPAUG,0))</f>
        <v>0</v>
      </c>
      <c r="R21" s="220"/>
      <c r="S21" s="224" t="s">
        <v>16</v>
      </c>
      <c r="T21" s="226">
        <f>SUMIFS(SMACC,SMDAP,"&gt;="&amp;SPAUG,SMDAP,"&lt;="&amp;EOMONTH(SPAUG,0))</f>
        <v>0</v>
      </c>
      <c r="U21" s="231">
        <f t="shared" si="1"/>
        <v>0</v>
      </c>
    </row>
    <row r="22" spans="1:21" ht="15.75" thickBot="1" x14ac:dyDescent="0.3">
      <c r="A22" s="422" t="str">
        <f>IFERROR(VLOOKUP(D22,'JONS-ADPLANNING'!$G$3:$K$44,2),"")</f>
        <v/>
      </c>
      <c r="B22" s="422" t="str">
        <f>IFERROR(VLOOKUP($D22,HELPER!$A$1:$B$42,2,FALSE),"")</f>
        <v/>
      </c>
      <c r="C22" s="8"/>
      <c r="D22" s="8"/>
      <c r="E22" s="8"/>
      <c r="F22" s="43"/>
      <c r="G22" s="6"/>
      <c r="H22" s="43"/>
      <c r="I22" s="43"/>
      <c r="J22" s="6"/>
      <c r="K22" s="6"/>
      <c r="L22" s="250"/>
      <c r="M22" s="250"/>
      <c r="N22" s="251">
        <f t="shared" si="0"/>
        <v>0</v>
      </c>
      <c r="P22" s="217">
        <f>DATE($P$2,9,1)</f>
        <v>44805</v>
      </c>
      <c r="Q22" s="49">
        <f>SUMIFS(SMPLC,SMPLD,"&gt;="&amp;SPSEP,SMPLD,"&lt;="&amp;EOMONTH(SPSEP,0))</f>
        <v>0</v>
      </c>
      <c r="R22" s="220"/>
      <c r="S22" s="225" t="s">
        <v>17</v>
      </c>
      <c r="T22" s="226">
        <f>SUMIFS(SMACC,SMDAP,"&gt;="&amp;SPSEP,SMDAP,"&lt;="&amp;EOMONTH(SPSEP,0))</f>
        <v>0</v>
      </c>
      <c r="U22" s="235">
        <f t="shared" si="1"/>
        <v>0</v>
      </c>
    </row>
    <row r="23" spans="1:21" ht="15.75" thickBot="1" x14ac:dyDescent="0.3">
      <c r="A23" s="422" t="str">
        <f>IFERROR(VLOOKUP(D23,'JONS-ADPLANNING'!$G$3:$K$44,2),"")</f>
        <v/>
      </c>
      <c r="B23" s="422" t="str">
        <f>IFERROR(VLOOKUP($D23,HELPER!$A$1:$B$42,2,FALSE),"")</f>
        <v/>
      </c>
      <c r="C23" s="8"/>
      <c r="D23" s="8"/>
      <c r="E23" s="8"/>
      <c r="F23" s="43"/>
      <c r="G23" s="6"/>
      <c r="H23" s="43"/>
      <c r="I23" s="43"/>
      <c r="J23" s="6"/>
      <c r="K23" s="6"/>
      <c r="L23" s="250"/>
      <c r="M23" s="250"/>
      <c r="N23" s="251">
        <f t="shared" si="0"/>
        <v>0</v>
      </c>
      <c r="P23" s="221" t="s">
        <v>6</v>
      </c>
      <c r="Q23" s="28">
        <f>SUM(Q11:Q22)</f>
        <v>0</v>
      </c>
      <c r="R23" s="223"/>
      <c r="S23" s="222" t="s">
        <v>6</v>
      </c>
      <c r="T23" s="228">
        <f>SUM(T11:T22)</f>
        <v>0</v>
      </c>
      <c r="U23" s="233">
        <f t="shared" si="1"/>
        <v>0</v>
      </c>
    </row>
    <row r="24" spans="1:21" x14ac:dyDescent="0.25">
      <c r="A24" s="422" t="str">
        <f>IFERROR(VLOOKUP(D24,'JONS-ADPLANNING'!$G$3:$K$44,2),"")</f>
        <v/>
      </c>
      <c r="B24" s="422" t="str">
        <f>IFERROR(VLOOKUP($D24,HELPER!$A$1:$B$42,2,FALSE),"")</f>
        <v/>
      </c>
      <c r="C24" s="8"/>
      <c r="D24" s="8"/>
      <c r="E24" s="8"/>
      <c r="F24" s="43"/>
      <c r="G24" s="6"/>
      <c r="H24" s="43"/>
      <c r="I24" s="43"/>
      <c r="J24" s="6"/>
      <c r="K24" s="6"/>
      <c r="L24" s="250"/>
      <c r="M24" s="250"/>
      <c r="N24" s="251">
        <f t="shared" si="0"/>
        <v>0</v>
      </c>
    </row>
    <row r="25" spans="1:21" x14ac:dyDescent="0.25">
      <c r="A25" s="422" t="str">
        <f>IFERROR(VLOOKUP(D25,'JONS-ADPLANNING'!$G$3:$K$44,2),"")</f>
        <v/>
      </c>
      <c r="B25" s="422" t="str">
        <f>IFERROR(VLOOKUP($D25,HELPER!$A$1:$B$42,2,FALSE),"")</f>
        <v/>
      </c>
      <c r="C25" s="8"/>
      <c r="D25" s="8"/>
      <c r="E25" s="8"/>
      <c r="F25" s="43"/>
      <c r="G25" s="6"/>
      <c r="H25" s="43"/>
      <c r="I25" s="43"/>
      <c r="J25" s="6"/>
      <c r="K25" s="6"/>
      <c r="L25" s="250"/>
      <c r="M25" s="250"/>
      <c r="N25" s="251">
        <f t="shared" si="0"/>
        <v>0</v>
      </c>
    </row>
    <row r="26" spans="1:21" x14ac:dyDescent="0.25">
      <c r="A26" s="422" t="str">
        <f>IFERROR(VLOOKUP(D26,'JONS-ADPLANNING'!$G$3:$K$44,2),"")</f>
        <v/>
      </c>
      <c r="B26" s="422" t="str">
        <f>IFERROR(VLOOKUP($D26,HELPER!$A$1:$B$42,2,FALSE),"")</f>
        <v/>
      </c>
      <c r="C26" s="8"/>
      <c r="D26" s="8"/>
      <c r="E26" s="8"/>
      <c r="F26" s="43"/>
      <c r="G26" s="6"/>
      <c r="H26" s="43"/>
      <c r="I26" s="43"/>
      <c r="J26" s="6"/>
      <c r="K26" s="6"/>
      <c r="L26" s="250"/>
      <c r="M26" s="250"/>
      <c r="N26" s="251">
        <f t="shared" si="0"/>
        <v>0</v>
      </c>
    </row>
    <row r="27" spans="1:21" x14ac:dyDescent="0.25">
      <c r="A27" s="422" t="str">
        <f>IFERROR(VLOOKUP(D27,'JONS-ADPLANNING'!$G$3:$K$44,2),"")</f>
        <v/>
      </c>
      <c r="B27" s="422" t="str">
        <f>IFERROR(VLOOKUP($D27,HELPER!$A$1:$B$42,2,FALSE),"")</f>
        <v/>
      </c>
      <c r="C27" s="8"/>
      <c r="D27" s="8"/>
      <c r="E27" s="8"/>
      <c r="F27" s="43"/>
      <c r="G27" s="6"/>
      <c r="H27" s="43"/>
      <c r="I27" s="43"/>
      <c r="J27" s="6"/>
      <c r="K27" s="6"/>
      <c r="L27" s="250"/>
      <c r="M27" s="250"/>
      <c r="N27" s="251">
        <f t="shared" si="0"/>
        <v>0</v>
      </c>
    </row>
    <row r="28" spans="1:21" x14ac:dyDescent="0.25">
      <c r="A28" s="422" t="str">
        <f>IFERROR(VLOOKUP(D28,'JONS-ADPLANNING'!$G$3:$K$44,2),"")</f>
        <v/>
      </c>
      <c r="B28" s="422" t="str">
        <f>IFERROR(VLOOKUP($D28,HELPER!$A$1:$B$42,2,FALSE),"")</f>
        <v/>
      </c>
      <c r="C28" s="8"/>
      <c r="D28" s="8"/>
      <c r="E28" s="8"/>
      <c r="F28" s="43"/>
      <c r="G28" s="6"/>
      <c r="H28" s="43"/>
      <c r="I28" s="43"/>
      <c r="J28" s="6"/>
      <c r="K28" s="6"/>
      <c r="L28" s="250"/>
      <c r="M28" s="250"/>
      <c r="N28" s="251">
        <f t="shared" si="0"/>
        <v>0</v>
      </c>
    </row>
    <row r="29" spans="1:21" x14ac:dyDescent="0.25">
      <c r="A29" s="422" t="str">
        <f>IFERROR(VLOOKUP(D29,'JONS-ADPLANNING'!$G$3:$K$44,2),"")</f>
        <v/>
      </c>
      <c r="B29" s="422" t="str">
        <f>IFERROR(VLOOKUP($D29,HELPER!$A$1:$B$42,2,FALSE),"")</f>
        <v/>
      </c>
      <c r="C29" s="8"/>
      <c r="D29" s="8"/>
      <c r="E29" s="8"/>
      <c r="F29" s="43"/>
      <c r="G29" s="6"/>
      <c r="H29" s="43"/>
      <c r="I29" s="43"/>
      <c r="J29" s="6"/>
      <c r="K29" s="6"/>
      <c r="L29" s="250"/>
      <c r="M29" s="250"/>
      <c r="N29" s="251">
        <f t="shared" si="0"/>
        <v>0</v>
      </c>
    </row>
    <row r="30" spans="1:21" x14ac:dyDescent="0.25">
      <c r="A30" s="422" t="str">
        <f>IFERROR(VLOOKUP(D30,'JONS-ADPLANNING'!$G$3:$K$44,2),"")</f>
        <v/>
      </c>
      <c r="B30" s="422" t="str">
        <f>IFERROR(VLOOKUP($D30,HELPER!$A$1:$B$42,2,FALSE),"")</f>
        <v/>
      </c>
      <c r="C30" s="8"/>
      <c r="D30" s="8"/>
      <c r="E30" s="8"/>
      <c r="F30" s="43"/>
      <c r="G30" s="6"/>
      <c r="H30" s="43"/>
      <c r="I30" s="43"/>
      <c r="J30" s="6"/>
      <c r="K30" s="6"/>
      <c r="L30" s="250"/>
      <c r="M30" s="250"/>
      <c r="N30" s="251">
        <f t="shared" si="0"/>
        <v>0</v>
      </c>
    </row>
    <row r="31" spans="1:21" x14ac:dyDescent="0.25">
      <c r="A31" s="422" t="str">
        <f>IFERROR(VLOOKUP(D31,'JONS-ADPLANNING'!$G$3:$K$44,2),"")</f>
        <v/>
      </c>
      <c r="B31" s="422" t="str">
        <f>IFERROR(VLOOKUP($D31,HELPER!$A$1:$B$42,2,FALSE),"")</f>
        <v/>
      </c>
      <c r="C31" s="8"/>
      <c r="D31" s="8"/>
      <c r="E31" s="8"/>
      <c r="F31" s="43"/>
      <c r="G31" s="6"/>
      <c r="H31" s="43"/>
      <c r="I31" s="43"/>
      <c r="J31" s="6"/>
      <c r="K31" s="6"/>
      <c r="L31" s="250"/>
      <c r="M31" s="250"/>
      <c r="N31" s="251">
        <f t="shared" si="0"/>
        <v>0</v>
      </c>
    </row>
    <row r="32" spans="1:21" x14ac:dyDescent="0.25">
      <c r="A32" s="422" t="str">
        <f>IFERROR(VLOOKUP(D32,'JONS-ADPLANNING'!$G$3:$K$44,2),"")</f>
        <v/>
      </c>
      <c r="B32" s="422" t="str">
        <f>IFERROR(VLOOKUP($D32,HELPER!$A$1:$B$42,2,FALSE),"")</f>
        <v/>
      </c>
      <c r="C32" s="8"/>
      <c r="D32" s="8"/>
      <c r="E32" s="8"/>
      <c r="F32" s="43"/>
      <c r="G32" s="6"/>
      <c r="H32" s="43"/>
      <c r="I32" s="43"/>
      <c r="J32" s="6"/>
      <c r="K32" s="6"/>
      <c r="L32" s="250"/>
      <c r="M32" s="250"/>
      <c r="N32" s="251">
        <f t="shared" si="0"/>
        <v>0</v>
      </c>
    </row>
    <row r="33" spans="1:14" x14ac:dyDescent="0.25">
      <c r="A33" s="422" t="str">
        <f>IFERROR(VLOOKUP(D33,'JONS-ADPLANNING'!$G$3:$K$44,2),"")</f>
        <v/>
      </c>
      <c r="B33" s="422" t="str">
        <f>IFERROR(VLOOKUP($D33,HELPER!$A$1:$B$42,2,FALSE),"")</f>
        <v/>
      </c>
      <c r="C33" s="8"/>
      <c r="D33" s="8"/>
      <c r="E33" s="8"/>
      <c r="F33" s="43"/>
      <c r="G33" s="6"/>
      <c r="H33" s="43"/>
      <c r="I33" s="43"/>
      <c r="J33" s="6"/>
      <c r="K33" s="6"/>
      <c r="L33" s="250"/>
      <c r="M33" s="250"/>
      <c r="N33" s="251">
        <f t="shared" si="0"/>
        <v>0</v>
      </c>
    </row>
    <row r="34" spans="1:14" x14ac:dyDescent="0.25">
      <c r="A34" s="422" t="str">
        <f>IFERROR(VLOOKUP(D34,'JONS-ADPLANNING'!$G$3:$K$44,2),"")</f>
        <v/>
      </c>
      <c r="B34" s="422" t="str">
        <f>IFERROR(VLOOKUP($D34,HELPER!$A$1:$B$42,2,FALSE),"")</f>
        <v/>
      </c>
      <c r="C34" s="8"/>
      <c r="D34" s="8"/>
      <c r="E34" s="8"/>
      <c r="F34" s="43"/>
      <c r="G34" s="6"/>
      <c r="H34" s="43"/>
      <c r="I34" s="43"/>
      <c r="J34" s="6"/>
      <c r="K34" s="6"/>
      <c r="L34" s="250"/>
      <c r="M34" s="250"/>
      <c r="N34" s="251">
        <f t="shared" ref="N34:N65" si="2">IFERROR(M34/L34,0)</f>
        <v>0</v>
      </c>
    </row>
    <row r="35" spans="1:14" x14ac:dyDescent="0.25">
      <c r="A35" s="422" t="str">
        <f>IFERROR(VLOOKUP(D35,'JONS-ADPLANNING'!$G$3:$K$44,2),"")</f>
        <v/>
      </c>
      <c r="B35" s="422" t="str">
        <f>IFERROR(VLOOKUP($D35,HELPER!$A$1:$B$42,2,FALSE),"")</f>
        <v/>
      </c>
      <c r="C35" s="8"/>
      <c r="D35" s="8"/>
      <c r="E35" s="8"/>
      <c r="F35" s="43"/>
      <c r="G35" s="6"/>
      <c r="H35" s="43"/>
      <c r="I35" s="43"/>
      <c r="J35" s="6"/>
      <c r="K35" s="6"/>
      <c r="L35" s="250"/>
      <c r="M35" s="250"/>
      <c r="N35" s="251">
        <f t="shared" si="2"/>
        <v>0</v>
      </c>
    </row>
    <row r="36" spans="1:14" x14ac:dyDescent="0.25">
      <c r="A36" s="422" t="str">
        <f>IFERROR(VLOOKUP(D36,'JONS-ADPLANNING'!$G$3:$K$44,2),"")</f>
        <v/>
      </c>
      <c r="B36" s="422" t="str">
        <f>IFERROR(VLOOKUP($D36,HELPER!$A$1:$B$42,2,FALSE),"")</f>
        <v/>
      </c>
      <c r="C36" s="8"/>
      <c r="D36" s="8"/>
      <c r="E36" s="8"/>
      <c r="F36" s="43"/>
      <c r="G36" s="6"/>
      <c r="H36" s="43"/>
      <c r="I36" s="43"/>
      <c r="J36" s="6"/>
      <c r="K36" s="6"/>
      <c r="L36" s="250"/>
      <c r="M36" s="250"/>
      <c r="N36" s="251">
        <f t="shared" si="2"/>
        <v>0</v>
      </c>
    </row>
    <row r="37" spans="1:14" x14ac:dyDescent="0.25">
      <c r="A37" s="422" t="str">
        <f>IFERROR(VLOOKUP(D37,'JONS-ADPLANNING'!$G$3:$K$44,2),"")</f>
        <v/>
      </c>
      <c r="B37" s="422" t="str">
        <f>IFERROR(VLOOKUP($D37,HELPER!$A$1:$B$42,2,FALSE),"")</f>
        <v/>
      </c>
      <c r="C37" s="8"/>
      <c r="D37" s="8"/>
      <c r="E37" s="8"/>
      <c r="F37" s="43"/>
      <c r="G37" s="6"/>
      <c r="H37" s="43"/>
      <c r="I37" s="43"/>
      <c r="J37" s="6"/>
      <c r="K37" s="6"/>
      <c r="L37" s="250"/>
      <c r="M37" s="250"/>
      <c r="N37" s="251">
        <f t="shared" si="2"/>
        <v>0</v>
      </c>
    </row>
    <row r="38" spans="1:14" x14ac:dyDescent="0.25">
      <c r="A38" s="422" t="str">
        <f>IFERROR(VLOOKUP(D38,'JONS-ADPLANNING'!$G$3:$K$44,2),"")</f>
        <v/>
      </c>
      <c r="B38" s="422" t="str">
        <f>IFERROR(VLOOKUP($D38,HELPER!$A$1:$B$42,2,FALSE),"")</f>
        <v/>
      </c>
      <c r="C38" s="8"/>
      <c r="D38" s="8"/>
      <c r="E38" s="8"/>
      <c r="F38" s="43"/>
      <c r="G38" s="6"/>
      <c r="H38" s="43"/>
      <c r="I38" s="43"/>
      <c r="J38" s="6"/>
      <c r="K38" s="6"/>
      <c r="L38" s="250"/>
      <c r="M38" s="250"/>
      <c r="N38" s="251">
        <f t="shared" si="2"/>
        <v>0</v>
      </c>
    </row>
    <row r="39" spans="1:14" x14ac:dyDescent="0.25">
      <c r="A39" s="422" t="str">
        <f>IFERROR(VLOOKUP(D39,'JONS-ADPLANNING'!$G$3:$K$44,2),"")</f>
        <v/>
      </c>
      <c r="B39" s="422" t="str">
        <f>IFERROR(VLOOKUP($D39,HELPER!$A$1:$B$42,2,FALSE),"")</f>
        <v/>
      </c>
      <c r="C39" s="8"/>
      <c r="D39" s="8"/>
      <c r="E39" s="8"/>
      <c r="F39" s="43"/>
      <c r="G39" s="6"/>
      <c r="H39" s="43"/>
      <c r="I39" s="43"/>
      <c r="J39" s="6"/>
      <c r="K39" s="6"/>
      <c r="L39" s="250"/>
      <c r="M39" s="250"/>
      <c r="N39" s="251">
        <f t="shared" si="2"/>
        <v>0</v>
      </c>
    </row>
    <row r="40" spans="1:14" x14ac:dyDescent="0.25">
      <c r="A40" s="422" t="str">
        <f>IFERROR(VLOOKUP(D40,'JONS-ADPLANNING'!$G$3:$K$44,2),"")</f>
        <v/>
      </c>
      <c r="B40" s="422" t="str">
        <f>IFERROR(VLOOKUP($D40,HELPER!$A$1:$B$42,2,FALSE),"")</f>
        <v/>
      </c>
      <c r="C40" s="8"/>
      <c r="D40" s="8"/>
      <c r="E40" s="8"/>
      <c r="F40" s="43"/>
      <c r="G40" s="6"/>
      <c r="H40" s="43"/>
      <c r="I40" s="43"/>
      <c r="J40" s="6"/>
      <c r="K40" s="6"/>
      <c r="L40" s="250"/>
      <c r="M40" s="250"/>
      <c r="N40" s="251">
        <f t="shared" si="2"/>
        <v>0</v>
      </c>
    </row>
    <row r="41" spans="1:14" x14ac:dyDescent="0.25">
      <c r="A41" s="422" t="str">
        <f>IFERROR(VLOOKUP(D41,'JONS-ADPLANNING'!$G$3:$K$44,2),"")</f>
        <v/>
      </c>
      <c r="B41" s="422" t="str">
        <f>IFERROR(VLOOKUP($D41,HELPER!$A$1:$B$42,2,FALSE),"")</f>
        <v/>
      </c>
      <c r="C41" s="8"/>
      <c r="D41" s="8"/>
      <c r="E41" s="8"/>
      <c r="F41" s="43"/>
      <c r="G41" s="6"/>
      <c r="H41" s="43"/>
      <c r="I41" s="43"/>
      <c r="J41" s="6"/>
      <c r="K41" s="6"/>
      <c r="L41" s="250"/>
      <c r="M41" s="250"/>
      <c r="N41" s="251">
        <f t="shared" si="2"/>
        <v>0</v>
      </c>
    </row>
    <row r="42" spans="1:14" x14ac:dyDescent="0.25">
      <c r="A42" s="422" t="str">
        <f>IFERROR(VLOOKUP(D42,'JONS-ADPLANNING'!$G$3:$K$44,2),"")</f>
        <v/>
      </c>
      <c r="B42" s="422" t="str">
        <f>IFERROR(VLOOKUP($D42,HELPER!$A$1:$B$42,2,FALSE),"")</f>
        <v/>
      </c>
      <c r="C42" s="8"/>
      <c r="D42" s="8"/>
      <c r="E42" s="8"/>
      <c r="F42" s="43"/>
      <c r="G42" s="6"/>
      <c r="H42" s="43"/>
      <c r="I42" s="43"/>
      <c r="J42" s="6"/>
      <c r="K42" s="6"/>
      <c r="L42" s="250"/>
      <c r="M42" s="250"/>
      <c r="N42" s="251">
        <f t="shared" si="2"/>
        <v>0</v>
      </c>
    </row>
    <row r="43" spans="1:14" x14ac:dyDescent="0.25">
      <c r="A43" s="422" t="str">
        <f>IFERROR(VLOOKUP(D43,'JONS-ADPLANNING'!$G$3:$K$44,2),"")</f>
        <v/>
      </c>
      <c r="B43" s="422" t="str">
        <f>IFERROR(VLOOKUP($D43,HELPER!$A$1:$B$42,2,FALSE),"")</f>
        <v/>
      </c>
      <c r="C43" s="8"/>
      <c r="D43" s="8"/>
      <c r="E43" s="8"/>
      <c r="F43" s="43"/>
      <c r="G43" s="6"/>
      <c r="H43" s="43"/>
      <c r="I43" s="43"/>
      <c r="J43" s="6"/>
      <c r="K43" s="6"/>
      <c r="L43" s="250"/>
      <c r="M43" s="250"/>
      <c r="N43" s="251">
        <f t="shared" si="2"/>
        <v>0</v>
      </c>
    </row>
    <row r="44" spans="1:14" x14ac:dyDescent="0.25">
      <c r="A44" s="422" t="str">
        <f>IFERROR(VLOOKUP(D44,'JONS-ADPLANNING'!$G$3:$K$44,2),"")</f>
        <v/>
      </c>
      <c r="B44" s="422" t="str">
        <f>IFERROR(VLOOKUP($D44,HELPER!$A$1:$B$42,2,FALSE),"")</f>
        <v/>
      </c>
      <c r="C44" s="8"/>
      <c r="D44" s="8"/>
      <c r="E44" s="8"/>
      <c r="F44" s="43"/>
      <c r="G44" s="6"/>
      <c r="H44" s="43"/>
      <c r="I44" s="43"/>
      <c r="J44" s="6"/>
      <c r="K44" s="6"/>
      <c r="L44" s="250"/>
      <c r="M44" s="250"/>
      <c r="N44" s="251">
        <f t="shared" si="2"/>
        <v>0</v>
      </c>
    </row>
    <row r="45" spans="1:14" x14ac:dyDescent="0.25">
      <c r="A45" s="422" t="str">
        <f>IFERROR(VLOOKUP(D45,'JONS-ADPLANNING'!$G$3:$K$44,2),"")</f>
        <v/>
      </c>
      <c r="B45" s="422" t="str">
        <f>IFERROR(VLOOKUP($D45,HELPER!$A$1:$B$42,2,FALSE),"")</f>
        <v/>
      </c>
      <c r="C45" s="8"/>
      <c r="D45" s="8"/>
      <c r="E45" s="8"/>
      <c r="F45" s="43"/>
      <c r="G45" s="6"/>
      <c r="H45" s="43"/>
      <c r="I45" s="43"/>
      <c r="J45" s="6"/>
      <c r="K45" s="6"/>
      <c r="L45" s="250"/>
      <c r="M45" s="250"/>
      <c r="N45" s="251">
        <f t="shared" si="2"/>
        <v>0</v>
      </c>
    </row>
    <row r="46" spans="1:14" x14ac:dyDescent="0.25">
      <c r="A46" s="422" t="str">
        <f>IFERROR(VLOOKUP(D46,'JONS-ADPLANNING'!$G$3:$K$44,2),"")</f>
        <v/>
      </c>
      <c r="B46" s="422" t="str">
        <f>IFERROR(VLOOKUP($D46,HELPER!$A$1:$B$42,2,FALSE),"")</f>
        <v/>
      </c>
      <c r="C46" s="8"/>
      <c r="D46" s="8"/>
      <c r="E46" s="8"/>
      <c r="F46" s="43"/>
      <c r="G46" s="6"/>
      <c r="H46" s="43"/>
      <c r="I46" s="43"/>
      <c r="J46" s="6"/>
      <c r="K46" s="6"/>
      <c r="L46" s="250"/>
      <c r="M46" s="250"/>
      <c r="N46" s="251">
        <f t="shared" si="2"/>
        <v>0</v>
      </c>
    </row>
    <row r="47" spans="1:14" x14ac:dyDescent="0.25">
      <c r="A47" s="422" t="str">
        <f>IFERROR(VLOOKUP(D47,'JONS-ADPLANNING'!$G$3:$K$44,2),"")</f>
        <v/>
      </c>
      <c r="B47" s="422" t="str">
        <f>IFERROR(VLOOKUP($D47,HELPER!$A$1:$B$42,2,FALSE),"")</f>
        <v/>
      </c>
      <c r="C47" s="8"/>
      <c r="D47" s="8"/>
      <c r="E47" s="8"/>
      <c r="F47" s="43"/>
      <c r="G47" s="6"/>
      <c r="H47" s="43"/>
      <c r="I47" s="43"/>
      <c r="J47" s="6"/>
      <c r="K47" s="6"/>
      <c r="L47" s="250"/>
      <c r="M47" s="250"/>
      <c r="N47" s="251">
        <f t="shared" si="2"/>
        <v>0</v>
      </c>
    </row>
    <row r="48" spans="1:14" x14ac:dyDescent="0.25">
      <c r="A48" s="422" t="str">
        <f>IFERROR(VLOOKUP(D48,'JONS-ADPLANNING'!$G$3:$K$44,2),"")</f>
        <v/>
      </c>
      <c r="B48" s="422" t="str">
        <f>IFERROR(VLOOKUP($D48,HELPER!$A$1:$B$42,2,FALSE),"")</f>
        <v/>
      </c>
      <c r="C48" s="8"/>
      <c r="D48" s="8"/>
      <c r="E48" s="8"/>
      <c r="F48" s="43"/>
      <c r="G48" s="6"/>
      <c r="H48" s="43"/>
      <c r="I48" s="43"/>
      <c r="J48" s="6"/>
      <c r="K48" s="6"/>
      <c r="L48" s="250"/>
      <c r="M48" s="250"/>
      <c r="N48" s="251">
        <f t="shared" si="2"/>
        <v>0</v>
      </c>
    </row>
    <row r="49" spans="1:14" x14ac:dyDescent="0.25">
      <c r="A49" s="422" t="str">
        <f>IFERROR(VLOOKUP(D49,'JONS-ADPLANNING'!$G$3:$K$44,2),"")</f>
        <v/>
      </c>
      <c r="B49" s="422" t="str">
        <f>IFERROR(VLOOKUP($D49,HELPER!$A$1:$B$42,2,FALSE),"")</f>
        <v/>
      </c>
      <c r="C49" s="8"/>
      <c r="D49" s="8"/>
      <c r="E49" s="8"/>
      <c r="F49" s="43"/>
      <c r="G49" s="6"/>
      <c r="H49" s="43"/>
      <c r="I49" s="43"/>
      <c r="J49" s="6"/>
      <c r="K49" s="6"/>
      <c r="L49" s="250"/>
      <c r="M49" s="250"/>
      <c r="N49" s="251">
        <f t="shared" si="2"/>
        <v>0</v>
      </c>
    </row>
    <row r="50" spans="1:14" x14ac:dyDescent="0.25">
      <c r="A50" s="422" t="str">
        <f>IFERROR(VLOOKUP(D50,'JONS-ADPLANNING'!$G$3:$K$44,2),"")</f>
        <v/>
      </c>
      <c r="B50" s="422" t="str">
        <f>IFERROR(VLOOKUP($D50,HELPER!$A$1:$B$42,2,FALSE),"")</f>
        <v/>
      </c>
      <c r="C50" s="8"/>
      <c r="D50" s="8"/>
      <c r="E50" s="8"/>
      <c r="F50" s="43"/>
      <c r="G50" s="6"/>
      <c r="H50" s="43"/>
      <c r="I50" s="43"/>
      <c r="J50" s="6"/>
      <c r="K50" s="6"/>
      <c r="L50" s="250"/>
      <c r="M50" s="250"/>
      <c r="N50" s="251">
        <f t="shared" si="2"/>
        <v>0</v>
      </c>
    </row>
    <row r="51" spans="1:14" x14ac:dyDescent="0.25">
      <c r="A51" s="422" t="str">
        <f>IFERROR(VLOOKUP(D51,'JONS-ADPLANNING'!$G$3:$K$44,2),"")</f>
        <v/>
      </c>
      <c r="B51" s="422" t="str">
        <f>IFERROR(VLOOKUP($D51,HELPER!$A$1:$B$42,2,FALSE),"")</f>
        <v/>
      </c>
      <c r="C51" s="8"/>
      <c r="D51" s="8"/>
      <c r="E51" s="8"/>
      <c r="F51" s="43"/>
      <c r="G51" s="6"/>
      <c r="H51" s="43"/>
      <c r="I51" s="43"/>
      <c r="J51" s="6"/>
      <c r="K51" s="6"/>
      <c r="L51" s="250"/>
      <c r="M51" s="250"/>
      <c r="N51" s="251">
        <f t="shared" si="2"/>
        <v>0</v>
      </c>
    </row>
    <row r="52" spans="1:14" x14ac:dyDescent="0.25">
      <c r="A52" s="422" t="str">
        <f>IFERROR(VLOOKUP(D52,'JONS-ADPLANNING'!$G$3:$K$44,2),"")</f>
        <v/>
      </c>
      <c r="B52" s="422" t="str">
        <f>IFERROR(VLOOKUP($D52,HELPER!$A$1:$B$42,2,FALSE),"")</f>
        <v/>
      </c>
      <c r="C52" s="8"/>
      <c r="D52" s="8"/>
      <c r="E52" s="8"/>
      <c r="F52" s="43"/>
      <c r="G52" s="6"/>
      <c r="H52" s="43"/>
      <c r="I52" s="43"/>
      <c r="J52" s="6"/>
      <c r="K52" s="6"/>
      <c r="L52" s="250"/>
      <c r="M52" s="250"/>
      <c r="N52" s="251">
        <f t="shared" si="2"/>
        <v>0</v>
      </c>
    </row>
    <row r="53" spans="1:14" x14ac:dyDescent="0.25">
      <c r="A53" s="422" t="str">
        <f>IFERROR(VLOOKUP(D53,'JONS-ADPLANNING'!$G$3:$K$44,2),"")</f>
        <v/>
      </c>
      <c r="B53" s="422" t="str">
        <f>IFERROR(VLOOKUP($D53,HELPER!$A$1:$B$42,2,FALSE),"")</f>
        <v/>
      </c>
      <c r="C53" s="8"/>
      <c r="D53" s="8"/>
      <c r="E53" s="8"/>
      <c r="F53" s="43"/>
      <c r="G53" s="6"/>
      <c r="H53" s="43"/>
      <c r="I53" s="43"/>
      <c r="J53" s="6"/>
      <c r="K53" s="6"/>
      <c r="L53" s="250"/>
      <c r="M53" s="250"/>
      <c r="N53" s="251">
        <f t="shared" si="2"/>
        <v>0</v>
      </c>
    </row>
    <row r="54" spans="1:14" x14ac:dyDescent="0.25">
      <c r="A54" s="422" t="str">
        <f>IFERROR(VLOOKUP(D54,'JONS-ADPLANNING'!$G$3:$K$44,2),"")</f>
        <v/>
      </c>
      <c r="B54" s="422" t="str">
        <f>IFERROR(VLOOKUP($D54,HELPER!$A$1:$B$42,2,FALSE),"")</f>
        <v/>
      </c>
      <c r="C54" s="8"/>
      <c r="D54" s="8"/>
      <c r="E54" s="8"/>
      <c r="F54" s="43"/>
      <c r="G54" s="6"/>
      <c r="H54" s="43"/>
      <c r="I54" s="43"/>
      <c r="J54" s="6"/>
      <c r="K54" s="6"/>
      <c r="L54" s="250"/>
      <c r="M54" s="250"/>
      <c r="N54" s="251">
        <f t="shared" si="2"/>
        <v>0</v>
      </c>
    </row>
    <row r="55" spans="1:14" x14ac:dyDescent="0.25">
      <c r="A55" s="422" t="str">
        <f>IFERROR(VLOOKUP(D55,'JONS-ADPLANNING'!$G$3:$K$44,2),"")</f>
        <v/>
      </c>
      <c r="B55" s="422" t="str">
        <f>IFERROR(VLOOKUP($D55,HELPER!$A$1:$B$42,2,FALSE),"")</f>
        <v/>
      </c>
      <c r="C55" s="8"/>
      <c r="D55" s="8"/>
      <c r="E55" s="8"/>
      <c r="F55" s="43"/>
      <c r="G55" s="6"/>
      <c r="H55" s="43"/>
      <c r="I55" s="43"/>
      <c r="J55" s="6"/>
      <c r="K55" s="6"/>
      <c r="L55" s="250"/>
      <c r="M55" s="250"/>
      <c r="N55" s="251">
        <f t="shared" si="2"/>
        <v>0</v>
      </c>
    </row>
    <row r="56" spans="1:14" x14ac:dyDescent="0.25">
      <c r="A56" s="422" t="str">
        <f>IFERROR(VLOOKUP(D56,'JONS-ADPLANNING'!$G$3:$K$44,2),"")</f>
        <v/>
      </c>
      <c r="B56" s="422" t="str">
        <f>IFERROR(VLOOKUP($D56,HELPER!$A$1:$B$42,2,FALSE),"")</f>
        <v/>
      </c>
      <c r="C56" s="8"/>
      <c r="D56" s="8"/>
      <c r="E56" s="8"/>
      <c r="F56" s="43"/>
      <c r="G56" s="6"/>
      <c r="H56" s="43"/>
      <c r="I56" s="43"/>
      <c r="J56" s="6"/>
      <c r="K56" s="6"/>
      <c r="L56" s="250"/>
      <c r="M56" s="250"/>
      <c r="N56" s="251">
        <f t="shared" si="2"/>
        <v>0</v>
      </c>
    </row>
    <row r="57" spans="1:14" x14ac:dyDescent="0.25">
      <c r="A57" s="422" t="str">
        <f>IFERROR(VLOOKUP(D57,'JONS-ADPLANNING'!$G$3:$K$44,2),"")</f>
        <v/>
      </c>
      <c r="B57" s="422" t="str">
        <f>IFERROR(VLOOKUP($D57,HELPER!$A$1:$B$42,2,FALSE),"")</f>
        <v/>
      </c>
      <c r="C57" s="8"/>
      <c r="D57" s="8"/>
      <c r="E57" s="8"/>
      <c r="F57" s="43"/>
      <c r="G57" s="6"/>
      <c r="H57" s="43"/>
      <c r="I57" s="43"/>
      <c r="J57" s="6"/>
      <c r="K57" s="6"/>
      <c r="L57" s="250"/>
      <c r="M57" s="250"/>
      <c r="N57" s="251">
        <f t="shared" si="2"/>
        <v>0</v>
      </c>
    </row>
    <row r="58" spans="1:14" x14ac:dyDescent="0.25">
      <c r="A58" s="422" t="str">
        <f>IFERROR(VLOOKUP(D58,'JONS-ADPLANNING'!$G$3:$K$44,2),"")</f>
        <v/>
      </c>
      <c r="B58" s="422" t="str">
        <f>IFERROR(VLOOKUP($D58,HELPER!$A$1:$B$42,2,FALSE),"")</f>
        <v/>
      </c>
      <c r="C58" s="8"/>
      <c r="D58" s="8"/>
      <c r="E58" s="8"/>
      <c r="F58" s="43"/>
      <c r="G58" s="6"/>
      <c r="H58" s="43"/>
      <c r="I58" s="43"/>
      <c r="J58" s="6"/>
      <c r="K58" s="6"/>
      <c r="L58" s="250"/>
      <c r="M58" s="250"/>
      <c r="N58" s="251">
        <f t="shared" si="2"/>
        <v>0</v>
      </c>
    </row>
    <row r="59" spans="1:14" x14ac:dyDescent="0.25">
      <c r="A59" s="422" t="str">
        <f>IFERROR(VLOOKUP(D59,'JONS-ADPLANNING'!$G$3:$K$44,2),"")</f>
        <v/>
      </c>
      <c r="B59" s="422" t="str">
        <f>IFERROR(VLOOKUP($D59,HELPER!$A$1:$B$42,2,FALSE),"")</f>
        <v/>
      </c>
      <c r="C59" s="8"/>
      <c r="D59" s="8"/>
      <c r="E59" s="8"/>
      <c r="F59" s="43"/>
      <c r="G59" s="6"/>
      <c r="H59" s="43"/>
      <c r="I59" s="43"/>
      <c r="J59" s="6"/>
      <c r="K59" s="6"/>
      <c r="L59" s="250"/>
      <c r="M59" s="250"/>
      <c r="N59" s="251">
        <f t="shared" si="2"/>
        <v>0</v>
      </c>
    </row>
    <row r="60" spans="1:14" x14ac:dyDescent="0.25">
      <c r="A60" s="422" t="str">
        <f>IFERROR(VLOOKUP(D60,'JONS-ADPLANNING'!$G$3:$K$44,2),"")</f>
        <v/>
      </c>
      <c r="B60" s="422" t="str">
        <f>IFERROR(VLOOKUP($D60,HELPER!$A$1:$B$42,2,FALSE),"")</f>
        <v/>
      </c>
      <c r="C60" s="8"/>
      <c r="D60" s="8"/>
      <c r="E60" s="8"/>
      <c r="F60" s="43"/>
      <c r="G60" s="6"/>
      <c r="H60" s="43"/>
      <c r="I60" s="43"/>
      <c r="J60" s="6"/>
      <c r="K60" s="6"/>
      <c r="L60" s="250"/>
      <c r="M60" s="250"/>
      <c r="N60" s="251">
        <f t="shared" si="2"/>
        <v>0</v>
      </c>
    </row>
    <row r="61" spans="1:14" x14ac:dyDescent="0.25">
      <c r="A61" s="422" t="str">
        <f>IFERROR(VLOOKUP(D61,'JONS-ADPLANNING'!$G$3:$K$44,2),"")</f>
        <v/>
      </c>
      <c r="B61" s="422" t="str">
        <f>IFERROR(VLOOKUP($D61,HELPER!$A$1:$B$42,2,FALSE),"")</f>
        <v/>
      </c>
      <c r="C61" s="8"/>
      <c r="D61" s="8"/>
      <c r="E61" s="8"/>
      <c r="F61" s="43"/>
      <c r="G61" s="6"/>
      <c r="H61" s="43"/>
      <c r="I61" s="43"/>
      <c r="J61" s="6"/>
      <c r="K61" s="6"/>
      <c r="L61" s="250"/>
      <c r="M61" s="250"/>
      <c r="N61" s="251">
        <f t="shared" si="2"/>
        <v>0</v>
      </c>
    </row>
    <row r="62" spans="1:14" x14ac:dyDescent="0.25">
      <c r="A62" s="422" t="str">
        <f>IFERROR(VLOOKUP(D62,'JONS-ADPLANNING'!$G$3:$K$44,2),"")</f>
        <v/>
      </c>
      <c r="B62" s="422" t="str">
        <f>IFERROR(VLOOKUP($D62,HELPER!$A$1:$B$42,2,FALSE),"")</f>
        <v/>
      </c>
      <c r="C62" s="8"/>
      <c r="D62" s="8"/>
      <c r="E62" s="8"/>
      <c r="F62" s="43"/>
      <c r="G62" s="6"/>
      <c r="H62" s="43"/>
      <c r="I62" s="43"/>
      <c r="J62" s="6"/>
      <c r="K62" s="6"/>
      <c r="L62" s="250"/>
      <c r="M62" s="250"/>
      <c r="N62" s="251">
        <f t="shared" si="2"/>
        <v>0</v>
      </c>
    </row>
    <row r="63" spans="1:14" x14ac:dyDescent="0.25">
      <c r="A63" s="422" t="str">
        <f>IFERROR(VLOOKUP(D63,'JONS-ADPLANNING'!$G$3:$K$44,2),"")</f>
        <v/>
      </c>
      <c r="B63" s="422" t="str">
        <f>IFERROR(VLOOKUP($D63,HELPER!$A$1:$B$42,2,FALSE),"")</f>
        <v/>
      </c>
      <c r="C63" s="8"/>
      <c r="D63" s="8"/>
      <c r="E63" s="8"/>
      <c r="F63" s="43"/>
      <c r="G63" s="6"/>
      <c r="H63" s="43"/>
      <c r="I63" s="43"/>
      <c r="J63" s="6"/>
      <c r="K63" s="6"/>
      <c r="L63" s="250"/>
      <c r="M63" s="250"/>
      <c r="N63" s="251">
        <f t="shared" si="2"/>
        <v>0</v>
      </c>
    </row>
    <row r="64" spans="1:14" x14ac:dyDescent="0.25">
      <c r="A64" s="422" t="str">
        <f>IFERROR(VLOOKUP(D64,'JONS-ADPLANNING'!$G$3:$K$44,2),"")</f>
        <v/>
      </c>
      <c r="B64" s="422" t="str">
        <f>IFERROR(VLOOKUP($D64,HELPER!$A$1:$B$42,2,FALSE),"")</f>
        <v/>
      </c>
      <c r="C64" s="8"/>
      <c r="D64" s="8"/>
      <c r="E64" s="8"/>
      <c r="F64" s="43"/>
      <c r="G64" s="6"/>
      <c r="H64" s="43"/>
      <c r="I64" s="43"/>
      <c r="J64" s="6"/>
      <c r="K64" s="6"/>
      <c r="L64" s="250"/>
      <c r="M64" s="250"/>
      <c r="N64" s="251">
        <f t="shared" si="2"/>
        <v>0</v>
      </c>
    </row>
    <row r="65" spans="1:14" x14ac:dyDescent="0.25">
      <c r="A65" s="422" t="str">
        <f>IFERROR(VLOOKUP(D65,'JONS-ADPLANNING'!$G$3:$K$44,2),"")</f>
        <v/>
      </c>
      <c r="B65" s="422" t="str">
        <f>IFERROR(VLOOKUP($D65,HELPER!$A$1:$B$42,2,FALSE),"")</f>
        <v/>
      </c>
      <c r="C65" s="8"/>
      <c r="D65" s="8"/>
      <c r="E65" s="8"/>
      <c r="F65" s="43"/>
      <c r="G65" s="6"/>
      <c r="H65" s="43"/>
      <c r="I65" s="43"/>
      <c r="J65" s="6"/>
      <c r="K65" s="6"/>
      <c r="L65" s="250"/>
      <c r="M65" s="250"/>
      <c r="N65" s="251">
        <f t="shared" si="2"/>
        <v>0</v>
      </c>
    </row>
    <row r="66" spans="1:14" x14ac:dyDescent="0.25">
      <c r="A66" s="422" t="str">
        <f>IFERROR(VLOOKUP(D66,'JONS-ADPLANNING'!$G$3:$K$44,2),"")</f>
        <v/>
      </c>
      <c r="B66" s="422" t="str">
        <f>IFERROR(VLOOKUP($D66,HELPER!$A$1:$B$42,2,FALSE),"")</f>
        <v/>
      </c>
      <c r="C66" s="8"/>
      <c r="D66" s="8"/>
      <c r="E66" s="8"/>
      <c r="F66" s="43"/>
      <c r="G66" s="6"/>
      <c r="H66" s="43"/>
      <c r="I66" s="43"/>
      <c r="J66" s="6"/>
      <c r="K66" s="6"/>
      <c r="L66" s="250"/>
      <c r="M66" s="250"/>
      <c r="N66" s="251">
        <f t="shared" ref="N66:N97" si="3">IFERROR(M66/L66,0)</f>
        <v>0</v>
      </c>
    </row>
    <row r="67" spans="1:14" x14ac:dyDescent="0.25">
      <c r="A67" s="422" t="str">
        <f>IFERROR(VLOOKUP(D67,'JONS-ADPLANNING'!$G$3:$K$44,2),"")</f>
        <v/>
      </c>
      <c r="B67" s="422" t="str">
        <f>IFERROR(VLOOKUP($D67,HELPER!$A$1:$B$42,2,FALSE),"")</f>
        <v/>
      </c>
      <c r="C67" s="8"/>
      <c r="D67" s="8"/>
      <c r="E67" s="8"/>
      <c r="F67" s="43"/>
      <c r="G67" s="6"/>
      <c r="H67" s="43"/>
      <c r="I67" s="43"/>
      <c r="J67" s="6"/>
      <c r="K67" s="6"/>
      <c r="L67" s="250"/>
      <c r="M67" s="250"/>
      <c r="N67" s="251">
        <f t="shared" si="3"/>
        <v>0</v>
      </c>
    </row>
    <row r="68" spans="1:14" x14ac:dyDescent="0.25">
      <c r="A68" s="422" t="str">
        <f>IFERROR(VLOOKUP(D68,'JONS-ADPLANNING'!$G$3:$K$44,2),"")</f>
        <v/>
      </c>
      <c r="B68" s="422" t="str">
        <f>IFERROR(VLOOKUP($D68,HELPER!$A$1:$B$42,2,FALSE),"")</f>
        <v/>
      </c>
      <c r="C68" s="8"/>
      <c r="D68" s="8"/>
      <c r="E68" s="8"/>
      <c r="F68" s="43"/>
      <c r="G68" s="6"/>
      <c r="H68" s="43"/>
      <c r="I68" s="43"/>
      <c r="J68" s="6"/>
      <c r="K68" s="6"/>
      <c r="L68" s="250"/>
      <c r="M68" s="250"/>
      <c r="N68" s="251">
        <f t="shared" si="3"/>
        <v>0</v>
      </c>
    </row>
    <row r="69" spans="1:14" x14ac:dyDescent="0.25">
      <c r="A69" s="422" t="str">
        <f>IFERROR(VLOOKUP(D69,'JONS-ADPLANNING'!$G$3:$K$44,2),"")</f>
        <v/>
      </c>
      <c r="B69" s="422" t="str">
        <f>IFERROR(VLOOKUP($D69,HELPER!$A$1:$B$42,2,FALSE),"")</f>
        <v/>
      </c>
      <c r="C69" s="8"/>
      <c r="D69" s="8"/>
      <c r="E69" s="8"/>
      <c r="F69" s="43"/>
      <c r="G69" s="6"/>
      <c r="H69" s="43"/>
      <c r="I69" s="43"/>
      <c r="J69" s="6"/>
      <c r="K69" s="6"/>
      <c r="L69" s="250"/>
      <c r="M69" s="250"/>
      <c r="N69" s="251">
        <f t="shared" si="3"/>
        <v>0</v>
      </c>
    </row>
    <row r="70" spans="1:14" x14ac:dyDescent="0.25">
      <c r="A70" s="422" t="str">
        <f>IFERROR(VLOOKUP(D70,'JONS-ADPLANNING'!$G$3:$K$44,2),"")</f>
        <v/>
      </c>
      <c r="B70" s="422" t="str">
        <f>IFERROR(VLOOKUP($D70,HELPER!$A$1:$B$42,2,FALSE),"")</f>
        <v/>
      </c>
      <c r="C70" s="8"/>
      <c r="D70" s="8"/>
      <c r="E70" s="8"/>
      <c r="F70" s="43"/>
      <c r="G70" s="6"/>
      <c r="H70" s="43"/>
      <c r="I70" s="43"/>
      <c r="J70" s="6"/>
      <c r="K70" s="6"/>
      <c r="L70" s="250"/>
      <c r="M70" s="250"/>
      <c r="N70" s="251">
        <f t="shared" si="3"/>
        <v>0</v>
      </c>
    </row>
    <row r="71" spans="1:14" x14ac:dyDescent="0.25">
      <c r="A71" s="422" t="str">
        <f>IFERROR(VLOOKUP(D71,'JONS-ADPLANNING'!$G$3:$K$44,2),"")</f>
        <v/>
      </c>
      <c r="B71" s="422" t="str">
        <f>IFERROR(VLOOKUP($D71,HELPER!$A$1:$B$42,2,FALSE),"")</f>
        <v/>
      </c>
      <c r="C71" s="8"/>
      <c r="D71" s="8"/>
      <c r="E71" s="8"/>
      <c r="F71" s="43"/>
      <c r="G71" s="6"/>
      <c r="H71" s="43"/>
      <c r="I71" s="43"/>
      <c r="J71" s="6"/>
      <c r="K71" s="6"/>
      <c r="L71" s="250"/>
      <c r="M71" s="250"/>
      <c r="N71" s="251">
        <f t="shared" si="3"/>
        <v>0</v>
      </c>
    </row>
    <row r="72" spans="1:14" x14ac:dyDescent="0.25">
      <c r="A72" s="422" t="str">
        <f>IFERROR(VLOOKUP(D72,'JONS-ADPLANNING'!$G$3:$K$44,2),"")</f>
        <v/>
      </c>
      <c r="B72" s="422" t="str">
        <f>IFERROR(VLOOKUP($D72,HELPER!$A$1:$B$42,2,FALSE),"")</f>
        <v/>
      </c>
      <c r="C72" s="8"/>
      <c r="D72" s="8"/>
      <c r="E72" s="8"/>
      <c r="F72" s="43"/>
      <c r="G72" s="6"/>
      <c r="H72" s="43"/>
      <c r="I72" s="43"/>
      <c r="J72" s="6"/>
      <c r="K72" s="6"/>
      <c r="L72" s="250"/>
      <c r="M72" s="250"/>
      <c r="N72" s="251">
        <f t="shared" si="3"/>
        <v>0</v>
      </c>
    </row>
    <row r="73" spans="1:14" x14ac:dyDescent="0.25">
      <c r="A73" s="422" t="str">
        <f>IFERROR(VLOOKUP(D73,'JONS-ADPLANNING'!$G$3:$K$44,2),"")</f>
        <v/>
      </c>
      <c r="B73" s="422" t="str">
        <f>IFERROR(VLOOKUP($D73,HELPER!$A$1:$B$42,2,FALSE),"")</f>
        <v/>
      </c>
      <c r="C73" s="8"/>
      <c r="D73" s="8"/>
      <c r="E73" s="8"/>
      <c r="F73" s="43"/>
      <c r="G73" s="6"/>
      <c r="H73" s="43"/>
      <c r="I73" s="43"/>
      <c r="J73" s="6"/>
      <c r="K73" s="6"/>
      <c r="L73" s="250"/>
      <c r="M73" s="250"/>
      <c r="N73" s="251">
        <f t="shared" si="3"/>
        <v>0</v>
      </c>
    </row>
    <row r="74" spans="1:14" x14ac:dyDescent="0.25">
      <c r="A74" s="422" t="str">
        <f>IFERROR(VLOOKUP(D74,'JONS-ADPLANNING'!$G$3:$K$44,2),"")</f>
        <v/>
      </c>
      <c r="B74" s="422" t="str">
        <f>IFERROR(VLOOKUP($D74,HELPER!$A$1:$B$42,2,FALSE),"")</f>
        <v/>
      </c>
      <c r="C74" s="8"/>
      <c r="D74" s="8"/>
      <c r="E74" s="8"/>
      <c r="F74" s="43"/>
      <c r="G74" s="6"/>
      <c r="H74" s="43"/>
      <c r="I74" s="43"/>
      <c r="J74" s="6"/>
      <c r="K74" s="6"/>
      <c r="L74" s="250"/>
      <c r="M74" s="250"/>
      <c r="N74" s="251">
        <f t="shared" si="3"/>
        <v>0</v>
      </c>
    </row>
    <row r="75" spans="1:14" x14ac:dyDescent="0.25">
      <c r="A75" s="422" t="str">
        <f>IFERROR(VLOOKUP(D75,'JONS-ADPLANNING'!$G$3:$K$44,2),"")</f>
        <v/>
      </c>
      <c r="B75" s="422" t="str">
        <f>IFERROR(VLOOKUP($D75,HELPER!$A$1:$B$42,2,FALSE),"")</f>
        <v/>
      </c>
      <c r="C75" s="8"/>
      <c r="D75" s="8"/>
      <c r="E75" s="8"/>
      <c r="F75" s="43"/>
      <c r="G75" s="6"/>
      <c r="H75" s="43"/>
      <c r="I75" s="43"/>
      <c r="J75" s="6"/>
      <c r="K75" s="6"/>
      <c r="L75" s="250"/>
      <c r="M75" s="250"/>
      <c r="N75" s="251">
        <f t="shared" si="3"/>
        <v>0</v>
      </c>
    </row>
    <row r="76" spans="1:14" x14ac:dyDescent="0.25">
      <c r="A76" s="422" t="str">
        <f>IFERROR(VLOOKUP(D76,'JONS-ADPLANNING'!$G$3:$K$44,2),"")</f>
        <v/>
      </c>
      <c r="B76" s="422" t="str">
        <f>IFERROR(VLOOKUP($D76,HELPER!$A$1:$B$42,2,FALSE),"")</f>
        <v/>
      </c>
      <c r="C76" s="8"/>
      <c r="D76" s="8"/>
      <c r="E76" s="8"/>
      <c r="F76" s="43"/>
      <c r="G76" s="6"/>
      <c r="H76" s="43"/>
      <c r="I76" s="43"/>
      <c r="J76" s="6"/>
      <c r="K76" s="6"/>
      <c r="L76" s="250"/>
      <c r="M76" s="250"/>
      <c r="N76" s="251">
        <f t="shared" si="3"/>
        <v>0</v>
      </c>
    </row>
    <row r="77" spans="1:14" x14ac:dyDescent="0.25">
      <c r="A77" s="422" t="str">
        <f>IFERROR(VLOOKUP(D77,'JONS-ADPLANNING'!$G$3:$K$44,2),"")</f>
        <v/>
      </c>
      <c r="B77" s="422" t="str">
        <f>IFERROR(VLOOKUP($D77,HELPER!$A$1:$B$42,2,FALSE),"")</f>
        <v/>
      </c>
      <c r="C77" s="8"/>
      <c r="D77" s="8"/>
      <c r="E77" s="8"/>
      <c r="F77" s="43"/>
      <c r="G77" s="6"/>
      <c r="H77" s="43"/>
      <c r="I77" s="43"/>
      <c r="J77" s="6"/>
      <c r="K77" s="6"/>
      <c r="L77" s="250"/>
      <c r="M77" s="250"/>
      <c r="N77" s="251">
        <f t="shared" si="3"/>
        <v>0</v>
      </c>
    </row>
    <row r="78" spans="1:14" x14ac:dyDescent="0.25">
      <c r="A78" s="422" t="str">
        <f>IFERROR(VLOOKUP(D78,'JONS-ADPLANNING'!$G$3:$K$44,2),"")</f>
        <v/>
      </c>
      <c r="B78" s="422" t="str">
        <f>IFERROR(VLOOKUP($D78,HELPER!$A$1:$B$42,2,FALSE),"")</f>
        <v/>
      </c>
      <c r="C78" s="8"/>
      <c r="D78" s="8"/>
      <c r="E78" s="8"/>
      <c r="F78" s="43"/>
      <c r="G78" s="6"/>
      <c r="H78" s="43"/>
      <c r="I78" s="43"/>
      <c r="J78" s="6"/>
      <c r="K78" s="6"/>
      <c r="L78" s="250"/>
      <c r="M78" s="250"/>
      <c r="N78" s="251">
        <f t="shared" si="3"/>
        <v>0</v>
      </c>
    </row>
    <row r="79" spans="1:14" x14ac:dyDescent="0.25">
      <c r="A79" s="422" t="str">
        <f>IFERROR(VLOOKUP(D79,'JONS-ADPLANNING'!$G$3:$K$44,2),"")</f>
        <v/>
      </c>
      <c r="B79" s="422" t="str">
        <f>IFERROR(VLOOKUP($D79,HELPER!$A$1:$B$42,2,FALSE),"")</f>
        <v/>
      </c>
      <c r="C79" s="8"/>
      <c r="D79" s="8"/>
      <c r="E79" s="8"/>
      <c r="F79" s="43"/>
      <c r="G79" s="6"/>
      <c r="H79" s="43"/>
      <c r="I79" s="43"/>
      <c r="J79" s="6"/>
      <c r="K79" s="6"/>
      <c r="L79" s="250"/>
      <c r="M79" s="250"/>
      <c r="N79" s="251">
        <f t="shared" si="3"/>
        <v>0</v>
      </c>
    </row>
    <row r="80" spans="1:14" x14ac:dyDescent="0.25">
      <c r="A80" s="422" t="str">
        <f>IFERROR(VLOOKUP(D80,'JONS-ADPLANNING'!$G$3:$K$44,2),"")</f>
        <v/>
      </c>
      <c r="B80" s="422" t="str">
        <f>IFERROR(VLOOKUP($D80,HELPER!$A$1:$B$42,2,FALSE),"")</f>
        <v/>
      </c>
      <c r="C80" s="8"/>
      <c r="D80" s="8"/>
      <c r="E80" s="8"/>
      <c r="F80" s="43"/>
      <c r="G80" s="6"/>
      <c r="H80" s="43"/>
      <c r="I80" s="43"/>
      <c r="J80" s="6"/>
      <c r="K80" s="6"/>
      <c r="L80" s="250"/>
      <c r="M80" s="250"/>
      <c r="N80" s="251">
        <f t="shared" si="3"/>
        <v>0</v>
      </c>
    </row>
    <row r="81" spans="1:14" x14ac:dyDescent="0.25">
      <c r="A81" s="422" t="str">
        <f>IFERROR(VLOOKUP(D81,'JONS-ADPLANNING'!$G$3:$K$44,2),"")</f>
        <v/>
      </c>
      <c r="B81" s="422" t="str">
        <f>IFERROR(VLOOKUP($D81,HELPER!$A$1:$B$42,2,FALSE),"")</f>
        <v/>
      </c>
      <c r="C81" s="8"/>
      <c r="D81" s="8"/>
      <c r="E81" s="8"/>
      <c r="F81" s="43"/>
      <c r="G81" s="6"/>
      <c r="H81" s="43"/>
      <c r="I81" s="43"/>
      <c r="J81" s="6"/>
      <c r="K81" s="6"/>
      <c r="L81" s="250"/>
      <c r="M81" s="250"/>
      <c r="N81" s="251">
        <f t="shared" si="3"/>
        <v>0</v>
      </c>
    </row>
    <row r="82" spans="1:14" x14ac:dyDescent="0.25">
      <c r="A82" s="422" t="str">
        <f>IFERROR(VLOOKUP(D82,'JONS-ADPLANNING'!$G$3:$K$44,2),"")</f>
        <v/>
      </c>
      <c r="B82" s="422" t="str">
        <f>IFERROR(VLOOKUP($D82,HELPER!$A$1:$B$42,2,FALSE),"")</f>
        <v/>
      </c>
      <c r="C82" s="8"/>
      <c r="D82" s="8"/>
      <c r="E82" s="8"/>
      <c r="F82" s="43"/>
      <c r="G82" s="6"/>
      <c r="H82" s="43"/>
      <c r="I82" s="43"/>
      <c r="J82" s="6"/>
      <c r="K82" s="6"/>
      <c r="L82" s="250"/>
      <c r="M82" s="250"/>
      <c r="N82" s="251">
        <f t="shared" si="3"/>
        <v>0</v>
      </c>
    </row>
    <row r="83" spans="1:14" x14ac:dyDescent="0.25">
      <c r="A83" s="422" t="str">
        <f>IFERROR(VLOOKUP(D83,'JONS-ADPLANNING'!$G$3:$K$44,2),"")</f>
        <v/>
      </c>
      <c r="B83" s="422" t="str">
        <f>IFERROR(VLOOKUP($D83,HELPER!$A$1:$B$42,2,FALSE),"")</f>
        <v/>
      </c>
      <c r="C83" s="8"/>
      <c r="D83" s="8"/>
      <c r="E83" s="8"/>
      <c r="F83" s="43"/>
      <c r="G83" s="6"/>
      <c r="H83" s="43"/>
      <c r="I83" s="43"/>
      <c r="J83" s="6"/>
      <c r="K83" s="6"/>
      <c r="L83" s="250"/>
      <c r="M83" s="250"/>
      <c r="N83" s="251">
        <f t="shared" si="3"/>
        <v>0</v>
      </c>
    </row>
    <row r="84" spans="1:14" x14ac:dyDescent="0.25">
      <c r="A84" s="422" t="str">
        <f>IFERROR(VLOOKUP(D84,'JONS-ADPLANNING'!$G$3:$K$44,2),"")</f>
        <v/>
      </c>
      <c r="B84" s="422" t="str">
        <f>IFERROR(VLOOKUP($D84,HELPER!$A$1:$B$42,2,FALSE),"")</f>
        <v/>
      </c>
      <c r="C84" s="8"/>
      <c r="D84" s="8"/>
      <c r="E84" s="8"/>
      <c r="F84" s="43"/>
      <c r="G84" s="6"/>
      <c r="H84" s="43"/>
      <c r="I84" s="43"/>
      <c r="J84" s="6"/>
      <c r="K84" s="6"/>
      <c r="L84" s="250"/>
      <c r="M84" s="250"/>
      <c r="N84" s="251">
        <f t="shared" si="3"/>
        <v>0</v>
      </c>
    </row>
    <row r="85" spans="1:14" x14ac:dyDescent="0.25">
      <c r="A85" s="422" t="str">
        <f>IFERROR(VLOOKUP(D85,'JONS-ADPLANNING'!$G$3:$K$44,2),"")</f>
        <v/>
      </c>
      <c r="B85" s="422" t="str">
        <f>IFERROR(VLOOKUP($D85,HELPER!$A$1:$B$42,2,FALSE),"")</f>
        <v/>
      </c>
      <c r="C85" s="8"/>
      <c r="D85" s="8"/>
      <c r="E85" s="8"/>
      <c r="F85" s="43"/>
      <c r="G85" s="6"/>
      <c r="H85" s="43"/>
      <c r="I85" s="43"/>
      <c r="J85" s="6"/>
      <c r="K85" s="6"/>
      <c r="L85" s="250"/>
      <c r="M85" s="250"/>
      <c r="N85" s="251">
        <f t="shared" si="3"/>
        <v>0</v>
      </c>
    </row>
    <row r="86" spans="1:14" x14ac:dyDescent="0.25">
      <c r="A86" s="422" t="str">
        <f>IFERROR(VLOOKUP(D86,'JONS-ADPLANNING'!$G$3:$K$44,2),"")</f>
        <v/>
      </c>
      <c r="B86" s="422" t="str">
        <f>IFERROR(VLOOKUP($D86,HELPER!$A$1:$B$42,2,FALSE),"")</f>
        <v/>
      </c>
      <c r="C86" s="8"/>
      <c r="D86" s="8"/>
      <c r="E86" s="8"/>
      <c r="F86" s="43"/>
      <c r="G86" s="6"/>
      <c r="H86" s="43"/>
      <c r="I86" s="43"/>
      <c r="J86" s="6"/>
      <c r="K86" s="6"/>
      <c r="L86" s="250"/>
      <c r="M86" s="250"/>
      <c r="N86" s="251">
        <f t="shared" si="3"/>
        <v>0</v>
      </c>
    </row>
    <row r="87" spans="1:14" x14ac:dyDescent="0.25">
      <c r="A87" s="422" t="str">
        <f>IFERROR(VLOOKUP(D87,'JONS-ADPLANNING'!$G$3:$K$44,2),"")</f>
        <v/>
      </c>
      <c r="B87" s="422" t="str">
        <f>IFERROR(VLOOKUP($D87,HELPER!$A$1:$B$42,2,FALSE),"")</f>
        <v/>
      </c>
      <c r="C87" s="8"/>
      <c r="D87" s="8"/>
      <c r="E87" s="8"/>
      <c r="F87" s="43"/>
      <c r="G87" s="6"/>
      <c r="H87" s="43"/>
      <c r="I87" s="43"/>
      <c r="J87" s="6"/>
      <c r="K87" s="6"/>
      <c r="L87" s="250"/>
      <c r="M87" s="250"/>
      <c r="N87" s="251">
        <f t="shared" si="3"/>
        <v>0</v>
      </c>
    </row>
    <row r="88" spans="1:14" x14ac:dyDescent="0.25">
      <c r="A88" s="422" t="str">
        <f>IFERROR(VLOOKUP(D88,'JONS-ADPLANNING'!$G$3:$K$44,2),"")</f>
        <v/>
      </c>
      <c r="B88" s="422" t="str">
        <f>IFERROR(VLOOKUP($D88,HELPER!$A$1:$B$42,2,FALSE),"")</f>
        <v/>
      </c>
      <c r="C88" s="8"/>
      <c r="D88" s="8"/>
      <c r="E88" s="8"/>
      <c r="F88" s="43"/>
      <c r="G88" s="6"/>
      <c r="H88" s="43"/>
      <c r="I88" s="43"/>
      <c r="J88" s="6"/>
      <c r="K88" s="6"/>
      <c r="L88" s="250"/>
      <c r="M88" s="250"/>
      <c r="N88" s="251">
        <f t="shared" si="3"/>
        <v>0</v>
      </c>
    </row>
    <row r="89" spans="1:14" x14ac:dyDescent="0.25">
      <c r="A89" s="422" t="str">
        <f>IFERROR(VLOOKUP(D89,'JONS-ADPLANNING'!$G$3:$K$44,2),"")</f>
        <v/>
      </c>
      <c r="B89" s="422" t="str">
        <f>IFERROR(VLOOKUP($D89,HELPER!$A$1:$B$42,2,FALSE),"")</f>
        <v/>
      </c>
      <c r="C89" s="8"/>
      <c r="D89" s="8"/>
      <c r="E89" s="8"/>
      <c r="F89" s="43"/>
      <c r="G89" s="6"/>
      <c r="H89" s="43"/>
      <c r="I89" s="43"/>
      <c r="J89" s="6"/>
      <c r="K89" s="6"/>
      <c r="L89" s="250"/>
      <c r="M89" s="250"/>
      <c r="N89" s="251">
        <f t="shared" si="3"/>
        <v>0</v>
      </c>
    </row>
    <row r="90" spans="1:14" x14ac:dyDescent="0.25">
      <c r="A90" s="422" t="str">
        <f>IFERROR(VLOOKUP(D90,'JONS-ADPLANNING'!$G$3:$K$44,2),"")</f>
        <v/>
      </c>
      <c r="B90" s="422" t="str">
        <f>IFERROR(VLOOKUP($D90,HELPER!$A$1:$B$42,2,FALSE),"")</f>
        <v/>
      </c>
      <c r="C90" s="8"/>
      <c r="D90" s="8"/>
      <c r="E90" s="8"/>
      <c r="F90" s="43"/>
      <c r="G90" s="6"/>
      <c r="H90" s="43"/>
      <c r="I90" s="43"/>
      <c r="J90" s="6"/>
      <c r="K90" s="6"/>
      <c r="L90" s="250"/>
      <c r="M90" s="250"/>
      <c r="N90" s="251">
        <f t="shared" si="3"/>
        <v>0</v>
      </c>
    </row>
    <row r="91" spans="1:14" x14ac:dyDescent="0.25">
      <c r="A91" s="422" t="str">
        <f>IFERROR(VLOOKUP(D91,'JONS-ADPLANNING'!$G$3:$K$44,2),"")</f>
        <v/>
      </c>
      <c r="B91" s="422" t="str">
        <f>IFERROR(VLOOKUP($D91,HELPER!$A$1:$B$42,2,FALSE),"")</f>
        <v/>
      </c>
      <c r="C91" s="8"/>
      <c r="D91" s="8"/>
      <c r="E91" s="8"/>
      <c r="F91" s="43"/>
      <c r="G91" s="6"/>
      <c r="H91" s="43"/>
      <c r="I91" s="43"/>
      <c r="J91" s="6"/>
      <c r="K91" s="6"/>
      <c r="L91" s="250"/>
      <c r="M91" s="250"/>
      <c r="N91" s="251">
        <f t="shared" si="3"/>
        <v>0</v>
      </c>
    </row>
    <row r="92" spans="1:14" x14ac:dyDescent="0.25">
      <c r="A92" s="422" t="str">
        <f>IFERROR(VLOOKUP(D92,'JONS-ADPLANNING'!$G$3:$K$44,2),"")</f>
        <v/>
      </c>
      <c r="B92" s="422" t="str">
        <f>IFERROR(VLOOKUP($D92,HELPER!$A$1:$B$42,2,FALSE),"")</f>
        <v/>
      </c>
      <c r="C92" s="8"/>
      <c r="D92" s="8"/>
      <c r="E92" s="8"/>
      <c r="F92" s="43"/>
      <c r="G92" s="6"/>
      <c r="H92" s="43"/>
      <c r="I92" s="43"/>
      <c r="J92" s="6"/>
      <c r="K92" s="6"/>
      <c r="L92" s="250"/>
      <c r="M92" s="250"/>
      <c r="N92" s="251">
        <f t="shared" si="3"/>
        <v>0</v>
      </c>
    </row>
    <row r="93" spans="1:14" x14ac:dyDescent="0.25">
      <c r="A93" s="422" t="str">
        <f>IFERROR(VLOOKUP(D93,'JONS-ADPLANNING'!$G$3:$K$44,2),"")</f>
        <v/>
      </c>
      <c r="B93" s="422" t="str">
        <f>IFERROR(VLOOKUP($D93,HELPER!$A$1:$B$42,2,FALSE),"")</f>
        <v/>
      </c>
      <c r="C93" s="8"/>
      <c r="D93" s="8"/>
      <c r="E93" s="8"/>
      <c r="F93" s="43"/>
      <c r="G93" s="6"/>
      <c r="H93" s="43"/>
      <c r="I93" s="43"/>
      <c r="J93" s="6"/>
      <c r="K93" s="6"/>
      <c r="L93" s="250"/>
      <c r="M93" s="250"/>
      <c r="N93" s="251">
        <f t="shared" si="3"/>
        <v>0</v>
      </c>
    </row>
    <row r="94" spans="1:14" x14ac:dyDescent="0.25">
      <c r="A94" s="422" t="str">
        <f>IFERROR(VLOOKUP(D94,'JONS-ADPLANNING'!$G$3:$K$44,2),"")</f>
        <v/>
      </c>
      <c r="B94" s="422" t="str">
        <f>IFERROR(VLOOKUP($D94,HELPER!$A$1:$B$42,2,FALSE),"")</f>
        <v/>
      </c>
      <c r="C94" s="8"/>
      <c r="D94" s="8"/>
      <c r="E94" s="8"/>
      <c r="F94" s="43"/>
      <c r="G94" s="6"/>
      <c r="H94" s="43"/>
      <c r="I94" s="43"/>
      <c r="J94" s="6"/>
      <c r="K94" s="6"/>
      <c r="L94" s="250"/>
      <c r="M94" s="250"/>
      <c r="N94" s="251">
        <f t="shared" si="3"/>
        <v>0</v>
      </c>
    </row>
    <row r="95" spans="1:14" x14ac:dyDescent="0.25">
      <c r="A95" s="422" t="str">
        <f>IFERROR(VLOOKUP(D95,'JONS-ADPLANNING'!$G$3:$K$44,2),"")</f>
        <v/>
      </c>
      <c r="B95" s="422" t="str">
        <f>IFERROR(VLOOKUP($D95,HELPER!$A$1:$B$42,2,FALSE),"")</f>
        <v/>
      </c>
      <c r="C95" s="8"/>
      <c r="D95" s="8"/>
      <c r="E95" s="8"/>
      <c r="F95" s="43"/>
      <c r="G95" s="6"/>
      <c r="H95" s="43"/>
      <c r="I95" s="43"/>
      <c r="J95" s="6"/>
      <c r="K95" s="6"/>
      <c r="L95" s="250"/>
      <c r="M95" s="250"/>
      <c r="N95" s="251">
        <f t="shared" si="3"/>
        <v>0</v>
      </c>
    </row>
    <row r="96" spans="1:14" x14ac:dyDescent="0.25">
      <c r="A96" s="422" t="str">
        <f>IFERROR(VLOOKUP(D96,'JONS-ADPLANNING'!$G$3:$K$44,2),"")</f>
        <v/>
      </c>
      <c r="B96" s="422" t="str">
        <f>IFERROR(VLOOKUP($D96,HELPER!$A$1:$B$42,2,FALSE),"")</f>
        <v/>
      </c>
      <c r="C96" s="8"/>
      <c r="D96" s="8"/>
      <c r="E96" s="8"/>
      <c r="F96" s="43"/>
      <c r="G96" s="6"/>
      <c r="H96" s="43"/>
      <c r="I96" s="43"/>
      <c r="J96" s="6"/>
      <c r="K96" s="6"/>
      <c r="L96" s="250"/>
      <c r="M96" s="250"/>
      <c r="N96" s="251">
        <f t="shared" si="3"/>
        <v>0</v>
      </c>
    </row>
    <row r="97" spans="1:14" x14ac:dyDescent="0.25">
      <c r="A97" s="422" t="str">
        <f>IFERROR(VLOOKUP(D97,'JONS-ADPLANNING'!$G$3:$K$44,2),"")</f>
        <v/>
      </c>
      <c r="B97" s="422" t="str">
        <f>IFERROR(VLOOKUP($D97,HELPER!$A$1:$B$42,2,FALSE),"")</f>
        <v/>
      </c>
      <c r="C97" s="8"/>
      <c r="D97" s="8"/>
      <c r="E97" s="8"/>
      <c r="F97" s="43"/>
      <c r="G97" s="6"/>
      <c r="H97" s="43"/>
      <c r="I97" s="43"/>
      <c r="J97" s="6"/>
      <c r="K97" s="6"/>
      <c r="L97" s="250"/>
      <c r="M97" s="250"/>
      <c r="N97" s="251">
        <f t="shared" si="3"/>
        <v>0</v>
      </c>
    </row>
    <row r="98" spans="1:14" x14ac:dyDescent="0.25">
      <c r="A98" s="422" t="str">
        <f>IFERROR(VLOOKUP(D98,'JONS-ADPLANNING'!$G$3:$K$44,2),"")</f>
        <v/>
      </c>
      <c r="B98" s="422" t="str">
        <f>IFERROR(VLOOKUP($D98,HELPER!$A$1:$B$42,2,FALSE),"")</f>
        <v/>
      </c>
      <c r="C98" s="8"/>
      <c r="D98" s="8"/>
      <c r="E98" s="8"/>
      <c r="F98" s="43"/>
      <c r="G98" s="6"/>
      <c r="H98" s="43"/>
      <c r="I98" s="43"/>
      <c r="J98" s="6"/>
      <c r="K98" s="6"/>
      <c r="L98" s="250"/>
      <c r="M98" s="250"/>
      <c r="N98" s="251">
        <f t="shared" ref="N98:N100" si="4">IFERROR(M98/L98,0)</f>
        <v>0</v>
      </c>
    </row>
    <row r="99" spans="1:14" x14ac:dyDescent="0.25">
      <c r="A99" s="422" t="str">
        <f>IFERROR(VLOOKUP(D99,'JONS-ADPLANNING'!$G$3:$K$44,2),"")</f>
        <v/>
      </c>
      <c r="B99" s="422" t="str">
        <f>IFERROR(VLOOKUP($D99,HELPER!$A$1:$B$42,2,FALSE),"")</f>
        <v/>
      </c>
      <c r="C99" s="8"/>
      <c r="D99" s="8"/>
      <c r="E99" s="8"/>
      <c r="F99" s="43"/>
      <c r="G99" s="6"/>
      <c r="H99" s="43"/>
      <c r="I99" s="43"/>
      <c r="J99" s="6"/>
      <c r="K99" s="6"/>
      <c r="L99" s="250"/>
      <c r="M99" s="250"/>
      <c r="N99" s="251">
        <f t="shared" si="4"/>
        <v>0</v>
      </c>
    </row>
    <row r="100" spans="1:14" x14ac:dyDescent="0.25">
      <c r="A100" s="422" t="str">
        <f>IFERROR(VLOOKUP(D100,'JONS-ADPLANNING'!$G$3:$K$44,2),"")</f>
        <v/>
      </c>
      <c r="B100" s="422" t="str">
        <f>IFERROR(VLOOKUP($D100,HELPER!$A$1:$B$42,2,FALSE),"")</f>
        <v/>
      </c>
      <c r="C100" s="8"/>
      <c r="D100" s="8"/>
      <c r="E100" s="8"/>
      <c r="F100" s="43"/>
      <c r="G100" s="10"/>
      <c r="H100" s="43"/>
      <c r="I100" s="256"/>
      <c r="J100" s="10"/>
      <c r="K100" s="6"/>
      <c r="L100" s="250"/>
      <c r="M100" s="250"/>
      <c r="N100" s="251">
        <f t="shared" si="4"/>
        <v>0</v>
      </c>
    </row>
    <row r="101" spans="1:14" ht="15.75" thickBot="1" x14ac:dyDescent="0.3">
      <c r="A101" s="2"/>
      <c r="B101" s="2"/>
      <c r="C101" s="2"/>
      <c r="D101" s="2"/>
      <c r="E101" s="2"/>
      <c r="F101" s="44"/>
      <c r="L101" s="244"/>
      <c r="M101" s="244"/>
      <c r="N101" s="243"/>
    </row>
    <row r="102" spans="1:14" ht="15.75" thickBot="1" x14ac:dyDescent="0.3">
      <c r="G102" s="3">
        <f>SUBTOTAL(9,SMPLC)</f>
        <v>0</v>
      </c>
      <c r="J102" s="3">
        <f>SUBTOTAL(9,SMACC)</f>
        <v>0</v>
      </c>
      <c r="K102" s="3">
        <f>SUBTOTAL(9,K2:K100)</f>
        <v>0</v>
      </c>
    </row>
    <row r="107" spans="1:14" x14ac:dyDescent="0.25">
      <c r="E107"/>
    </row>
    <row r="108" spans="1:14" x14ac:dyDescent="0.25">
      <c r="E108"/>
    </row>
    <row r="109" spans="1:14" x14ac:dyDescent="0.25">
      <c r="E109"/>
    </row>
    <row r="110" spans="1:14" x14ac:dyDescent="0.25">
      <c r="E110"/>
    </row>
    <row r="111" spans="1:14" x14ac:dyDescent="0.25">
      <c r="E111"/>
    </row>
    <row r="112" spans="1:14" x14ac:dyDescent="0.25">
      <c r="E112"/>
    </row>
    <row r="113" spans="5:5" x14ac:dyDescent="0.25">
      <c r="E113"/>
    </row>
    <row r="114" spans="5:5" x14ac:dyDescent="0.25">
      <c r="E114"/>
    </row>
    <row r="115" spans="5:5" x14ac:dyDescent="0.25">
      <c r="E115"/>
    </row>
    <row r="116" spans="5:5" x14ac:dyDescent="0.25">
      <c r="E116"/>
    </row>
    <row r="117" spans="5:5" x14ac:dyDescent="0.25">
      <c r="E117"/>
    </row>
    <row r="118" spans="5:5" x14ac:dyDescent="0.25">
      <c r="E118"/>
    </row>
    <row r="119" spans="5:5" x14ac:dyDescent="0.25">
      <c r="E119"/>
    </row>
    <row r="120" spans="5:5" x14ac:dyDescent="0.25">
      <c r="E120"/>
    </row>
    <row r="121" spans="5:5" x14ac:dyDescent="0.25">
      <c r="E121"/>
    </row>
    <row r="122" spans="5:5" x14ac:dyDescent="0.25">
      <c r="E122"/>
    </row>
    <row r="123" spans="5:5" x14ac:dyDescent="0.25">
      <c r="E123"/>
    </row>
    <row r="124" spans="5:5" x14ac:dyDescent="0.25">
      <c r="E124"/>
    </row>
    <row r="125" spans="5:5" x14ac:dyDescent="0.25">
      <c r="E125"/>
    </row>
    <row r="126" spans="5:5" x14ac:dyDescent="0.25">
      <c r="E126"/>
    </row>
    <row r="127" spans="5:5" x14ac:dyDescent="0.25">
      <c r="E127"/>
    </row>
    <row r="128" spans="5:5" x14ac:dyDescent="0.25">
      <c r="E128"/>
    </row>
    <row r="129" spans="5:5" x14ac:dyDescent="0.25">
      <c r="E129"/>
    </row>
    <row r="130" spans="5:5" x14ac:dyDescent="0.25">
      <c r="E130"/>
    </row>
    <row r="131" spans="5:5" x14ac:dyDescent="0.25">
      <c r="E131"/>
    </row>
    <row r="132" spans="5:5" x14ac:dyDescent="0.25">
      <c r="E132"/>
    </row>
    <row r="133" spans="5:5" x14ac:dyDescent="0.25">
      <c r="E133"/>
    </row>
    <row r="134" spans="5:5" x14ac:dyDescent="0.25">
      <c r="E134"/>
    </row>
    <row r="135" spans="5:5" x14ac:dyDescent="0.25">
      <c r="E135"/>
    </row>
    <row r="136" spans="5:5" x14ac:dyDescent="0.25">
      <c r="E136"/>
    </row>
    <row r="137" spans="5:5" x14ac:dyDescent="0.25">
      <c r="E137"/>
    </row>
    <row r="138" spans="5:5" x14ac:dyDescent="0.25">
      <c r="E138"/>
    </row>
    <row r="139" spans="5:5" x14ac:dyDescent="0.25">
      <c r="E139"/>
    </row>
    <row r="140" spans="5:5" x14ac:dyDescent="0.25">
      <c r="E140"/>
    </row>
    <row r="141" spans="5:5" x14ac:dyDescent="0.25">
      <c r="E141"/>
    </row>
    <row r="142" spans="5:5" x14ac:dyDescent="0.25">
      <c r="E142"/>
    </row>
    <row r="143" spans="5:5" x14ac:dyDescent="0.25">
      <c r="E143"/>
    </row>
    <row r="144" spans="5:5" x14ac:dyDescent="0.25">
      <c r="E144"/>
    </row>
  </sheetData>
  <sheetProtection sheet="1" selectLockedCells="1" autoFilter="0"/>
  <autoFilter ref="A1:N100" xr:uid="{00000000-0001-0000-0500-000000000000}"/>
  <customSheetViews>
    <customSheetView guid="{DDFF3EBC-2CED-4439-A844-7B6A9C88C75C}" fitToPage="1" showAutoFilter="1">
      <selection activeCell="T25" sqref="T25"/>
      <pageMargins left="0.7" right="0.7" top="0.75" bottom="0.75" header="0.3" footer="0.3"/>
      <pageSetup scale="35" fitToHeight="0" orientation="portrait" horizontalDpi="1200" verticalDpi="1200" r:id="rId1"/>
      <autoFilter ref="A1:M101" xr:uid="{D66A1430-56AC-4D5E-98B4-3423E73C5D90}">
        <sortState xmlns:xlrd2="http://schemas.microsoft.com/office/spreadsheetml/2017/richdata2" ref="A2:M101">
          <sortCondition ref="E1:E101"/>
        </sortState>
      </autoFilter>
    </customSheetView>
    <customSheetView guid="{B51176BD-3A7B-4ED1-B67D-463289B65E73}" fitToPage="1" showAutoFilter="1">
      <selection activeCell="E1" sqref="E1"/>
      <pageMargins left="0.7" right="0.7" top="0.75" bottom="0.75" header="0.3" footer="0.3"/>
      <pageSetup scale="35" fitToHeight="0" orientation="portrait" horizontalDpi="1200" verticalDpi="1200" r:id="rId2"/>
      <autoFilter ref="A1:M101" xr:uid="{B39DCA19-A963-4239-BE5C-234CBAA5178E}">
        <sortState xmlns:xlrd2="http://schemas.microsoft.com/office/spreadsheetml/2017/richdata2" ref="A2:M101">
          <sortCondition ref="E1:E101"/>
        </sortState>
      </autoFilter>
    </customSheetView>
  </customSheetViews>
  <mergeCells count="9">
    <mergeCell ref="P10:Q10"/>
    <mergeCell ref="S10:T10"/>
    <mergeCell ref="P2:Q2"/>
    <mergeCell ref="T2:U2"/>
    <mergeCell ref="P1:Q1"/>
    <mergeCell ref="T1:U1"/>
    <mergeCell ref="P4:Q4"/>
    <mergeCell ref="S4:T4"/>
    <mergeCell ref="P3:U3"/>
  </mergeCells>
  <conditionalFormatting sqref="C2:C100">
    <cfRule type="duplicateValues" dxfId="24" priority="5"/>
  </conditionalFormatting>
  <conditionalFormatting sqref="F2:F100 H2:I100">
    <cfRule type="timePeriod" dxfId="23" priority="11" timePeriod="nextMonth">
      <formula>AND(MONTH(F2)=MONTH(EDATE(TODAY(),0+1)),YEAR(F2)=YEAR(EDATE(TODAY(),0+1)))</formula>
    </cfRule>
    <cfRule type="timePeriod" dxfId="22" priority="12" timePeriod="lastMonth">
      <formula>AND(MONTH(F2)=MONTH(EDATE(TODAY(),0-1)),YEAR(F2)=YEAR(EDATE(TODAY(),0-1)))</formula>
    </cfRule>
    <cfRule type="timePeriod" dxfId="21" priority="13" timePeriod="thisMonth">
      <formula>AND(MONTH(F2)=MONTH(TODAY()),YEAR(F2)=YEAR(TODAY()))</formula>
    </cfRule>
  </conditionalFormatting>
  <conditionalFormatting sqref="Q9 T9">
    <cfRule type="cellIs" dxfId="20" priority="4" operator="equal">
      <formula>"$E$100"</formula>
    </cfRule>
  </conditionalFormatting>
  <conditionalFormatting sqref="A2:B100">
    <cfRule type="containsErrors" dxfId="19" priority="3">
      <formula>ISERROR(A2)</formula>
    </cfRule>
  </conditionalFormatting>
  <conditionalFormatting sqref="N2:N100">
    <cfRule type="cellIs" dxfId="18" priority="2" operator="equal">
      <formula>0</formula>
    </cfRule>
  </conditionalFormatting>
  <conditionalFormatting sqref="T2:U2">
    <cfRule type="containsBlanks" dxfId="17" priority="1">
      <formula>LEN(TRIM(T2))=0</formula>
    </cfRule>
  </conditionalFormatting>
  <pageMargins left="0.7" right="0.7" top="0.75" bottom="0.75" header="0.3" footer="0.3"/>
  <pageSetup scale="35" fitToHeight="0" orientation="portrait" horizontalDpi="1200" verticalDpi="120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rgb="FFFF0000"/>
  </sheetPr>
  <dimension ref="A1:AF101"/>
  <sheetViews>
    <sheetView workbookViewId="0">
      <selection activeCell="C2" sqref="C2"/>
    </sheetView>
  </sheetViews>
  <sheetFormatPr defaultRowHeight="15" x14ac:dyDescent="0.25"/>
  <cols>
    <col min="1" max="1" width="9.140625" style="249" bestFit="1" customWidth="1"/>
    <col min="2" max="2" width="12.140625" style="249" bestFit="1" customWidth="1"/>
    <col min="3" max="3" width="9" style="87" bestFit="1" customWidth="1"/>
    <col min="4" max="4" width="15" style="87" bestFit="1" customWidth="1"/>
    <col min="5" max="5" width="17.28515625" style="87" bestFit="1" customWidth="1"/>
    <col min="6" max="7" width="19.140625" style="87" bestFit="1" customWidth="1"/>
    <col min="8" max="8" width="14.85546875" style="87" bestFit="1" customWidth="1"/>
    <col min="9" max="10" width="17.7109375" style="87" bestFit="1" customWidth="1"/>
    <col min="11" max="11" width="19.5703125" style="87" bestFit="1" customWidth="1"/>
    <col min="12" max="12" width="21.28515625" style="87" bestFit="1" customWidth="1"/>
    <col min="13" max="13" width="16.140625" style="87" customWidth="1"/>
    <col min="14" max="14" width="19.7109375" style="87" bestFit="1" customWidth="1"/>
    <col min="15" max="15" width="20.85546875" style="87" customWidth="1"/>
    <col min="16" max="18" width="16.140625" style="87" hidden="1" customWidth="1"/>
    <col min="20" max="20" width="10.140625" bestFit="1" customWidth="1"/>
    <col min="21" max="21" width="10.7109375" customWidth="1"/>
    <col min="22" max="22" width="1.140625" customWidth="1"/>
    <col min="24" max="24" width="10.7109375" customWidth="1"/>
    <col min="27" max="27" width="10.140625" bestFit="1" customWidth="1"/>
    <col min="28" max="28" width="10.5703125" customWidth="1"/>
  </cols>
  <sheetData>
    <row r="1" spans="1:28" x14ac:dyDescent="0.25">
      <c r="A1" s="247" t="s">
        <v>139</v>
      </c>
      <c r="B1" s="247" t="s">
        <v>310</v>
      </c>
      <c r="C1" s="88" t="s">
        <v>20</v>
      </c>
      <c r="D1" s="88" t="s">
        <v>52</v>
      </c>
      <c r="E1" s="88" t="s">
        <v>53</v>
      </c>
      <c r="F1" s="91" t="s">
        <v>84</v>
      </c>
      <c r="G1" s="88" t="s">
        <v>60</v>
      </c>
      <c r="H1" s="91" t="s">
        <v>256</v>
      </c>
      <c r="I1" s="91" t="s">
        <v>83</v>
      </c>
      <c r="J1" s="88" t="s">
        <v>8</v>
      </c>
      <c r="K1" s="360" t="s">
        <v>314</v>
      </c>
      <c r="L1" s="360" t="s">
        <v>263</v>
      </c>
      <c r="M1" s="360" t="s">
        <v>264</v>
      </c>
      <c r="N1" s="360" t="s">
        <v>243</v>
      </c>
      <c r="O1" s="360" t="s">
        <v>70</v>
      </c>
      <c r="P1" s="88" t="s">
        <v>67</v>
      </c>
      <c r="Q1" s="88" t="s">
        <v>68</v>
      </c>
      <c r="R1" s="88" t="s">
        <v>69</v>
      </c>
      <c r="T1" s="706" t="s">
        <v>1</v>
      </c>
      <c r="U1" s="707"/>
      <c r="V1" s="236"/>
      <c r="W1" s="665" t="s">
        <v>54</v>
      </c>
      <c r="X1" s="667"/>
      <c r="Y1" s="711" t="s">
        <v>30</v>
      </c>
      <c r="Z1" s="712"/>
      <c r="AA1" s="712"/>
      <c r="AB1" s="713"/>
    </row>
    <row r="2" spans="1:28" ht="15.75" thickBot="1" x14ac:dyDescent="0.3">
      <c r="A2" s="423" t="str">
        <f>IFERROR(VLOOKUP(D2,'JONS-ADPLANNING'!$G$3:$K$44,2),"")</f>
        <v/>
      </c>
      <c r="B2" s="423" t="str">
        <f>IFERROR(VLOOKUP($D2,HELPER!$A$1:$B$42,2,FALSE),"")</f>
        <v/>
      </c>
      <c r="C2" s="125"/>
      <c r="D2" s="89"/>
      <c r="E2" s="125"/>
      <c r="F2" s="92"/>
      <c r="G2" s="93"/>
      <c r="H2" s="92"/>
      <c r="I2" s="92"/>
      <c r="J2" s="93"/>
      <c r="K2" s="358"/>
      <c r="L2" s="358"/>
      <c r="M2" s="359"/>
      <c r="N2" s="361" t="str">
        <f>IFERROR(L2/K2,"")</f>
        <v/>
      </c>
      <c r="O2" s="362" t="str">
        <f>IF(ISBLANK(M2),"",IF(N2&gt;=P2,"GOOD",IF(N2&gt;=Q2,"OK",IF(N2&lt;=R2,"BAD"))))</f>
        <v/>
      </c>
      <c r="P2" s="361">
        <f>IFERROR(M2*150%,0)</f>
        <v>0</v>
      </c>
      <c r="Q2" s="361">
        <f t="shared" ref="Q2" si="0">IFERROR(P2/2,0)</f>
        <v>0</v>
      </c>
      <c r="R2" s="361">
        <f t="shared" ref="R2" si="1">IFERROR(Q2-0.01%,0)</f>
        <v>-1E-4</v>
      </c>
      <c r="T2" s="702">
        <f>'BUDGET OVERVIEW'!B1</f>
        <v>2022</v>
      </c>
      <c r="U2" s="703"/>
      <c r="V2" s="38"/>
      <c r="W2" s="704"/>
      <c r="X2" s="705"/>
      <c r="Y2" s="720"/>
      <c r="Z2" s="714" t="s">
        <v>29</v>
      </c>
      <c r="AA2" s="716" t="s">
        <v>263</v>
      </c>
      <c r="AB2" s="718" t="s">
        <v>243</v>
      </c>
    </row>
    <row r="3" spans="1:28" ht="15.75" thickBot="1" x14ac:dyDescent="0.3">
      <c r="A3" s="423" t="str">
        <f>IFERROR(VLOOKUP(D3,'JONS-ADPLANNING'!$G$3:$K$44,2),"")</f>
        <v/>
      </c>
      <c r="B3" s="423" t="str">
        <f>IFERROR(VLOOKUP($D3,HELPER!$A$1:$B$42,2,FALSE),"")</f>
        <v/>
      </c>
      <c r="C3" s="125"/>
      <c r="D3" s="89"/>
      <c r="E3" s="125"/>
      <c r="F3" s="92"/>
      <c r="G3" s="93"/>
      <c r="H3" s="92"/>
      <c r="I3" s="92"/>
      <c r="J3" s="93"/>
      <c r="K3" s="358"/>
      <c r="L3" s="358"/>
      <c r="M3" s="359"/>
      <c r="N3" s="361" t="str">
        <f t="shared" ref="N3:N66" si="2">IFERROR(L3/K3,"")</f>
        <v/>
      </c>
      <c r="O3" s="362" t="str">
        <f t="shared" ref="O3:O66" si="3">IF(ISBLANK(M3),"",IF(N3&gt;=P3,"GOOD",IF(N3&gt;=Q3,"OK",IF(N3&lt;=R3,"BAD"))))</f>
        <v/>
      </c>
      <c r="P3" s="361">
        <f t="shared" ref="P3:P33" si="4">IFERROR(M3*150%,0)</f>
        <v>0</v>
      </c>
      <c r="Q3" s="361">
        <f t="shared" ref="Q3:Q33" si="5">IFERROR(P3/2,0)</f>
        <v>0</v>
      </c>
      <c r="R3" s="361">
        <f t="shared" ref="R3:R33" si="6">IFERROR(Q3-0.01%,0)</f>
        <v>-1E-4</v>
      </c>
      <c r="T3" s="694" t="s">
        <v>55</v>
      </c>
      <c r="U3" s="695"/>
      <c r="V3" s="695"/>
      <c r="W3" s="695"/>
      <c r="X3" s="695"/>
      <c r="Y3" s="721"/>
      <c r="Z3" s="715"/>
      <c r="AA3" s="717"/>
      <c r="AB3" s="719"/>
    </row>
    <row r="4" spans="1:28" x14ac:dyDescent="0.25">
      <c r="A4" s="423" t="str">
        <f>IFERROR(VLOOKUP(D4,'JONS-ADPLANNING'!$G$3:$K$44,2),"")</f>
        <v/>
      </c>
      <c r="B4" s="423" t="str">
        <f>IFERROR(VLOOKUP($D4,HELPER!$A$1:$B$42,2,FALSE),"")</f>
        <v/>
      </c>
      <c r="C4" s="125"/>
      <c r="D4" s="89"/>
      <c r="E4" s="89"/>
      <c r="F4" s="92"/>
      <c r="G4" s="93"/>
      <c r="H4" s="92"/>
      <c r="I4" s="92"/>
      <c r="J4" s="93"/>
      <c r="K4" s="358"/>
      <c r="L4" s="358"/>
      <c r="M4" s="359"/>
      <c r="N4" s="361" t="str">
        <f t="shared" si="2"/>
        <v/>
      </c>
      <c r="O4" s="362" t="str">
        <f t="shared" si="3"/>
        <v/>
      </c>
      <c r="P4" s="361">
        <f t="shared" si="4"/>
        <v>0</v>
      </c>
      <c r="Q4" s="361">
        <f t="shared" si="5"/>
        <v>0</v>
      </c>
      <c r="R4" s="361">
        <f t="shared" si="6"/>
        <v>-1E-4</v>
      </c>
      <c r="T4" s="690" t="s">
        <v>7</v>
      </c>
      <c r="U4" s="691"/>
      <c r="V4" s="13"/>
      <c r="W4" s="692" t="s">
        <v>22</v>
      </c>
      <c r="X4" s="708"/>
      <c r="Y4" s="355">
        <f>DATE(($T$2-1),10,1)</f>
        <v>44470</v>
      </c>
      <c r="Z4" s="356"/>
      <c r="AA4" s="356"/>
      <c r="AB4" s="357">
        <f>IFERROR(Z4/AA4,0)</f>
        <v>0</v>
      </c>
    </row>
    <row r="5" spans="1:28" ht="15" customHeight="1" x14ac:dyDescent="0.25">
      <c r="A5" s="423" t="str">
        <f>IFERROR(VLOOKUP(D5,'JONS-ADPLANNING'!$G$3:$K$44,2),"")</f>
        <v/>
      </c>
      <c r="B5" s="423" t="str">
        <f>IFERROR(VLOOKUP($D5,HELPER!$A$1:$B$42,2,FALSE),"")</f>
        <v/>
      </c>
      <c r="C5" s="125"/>
      <c r="D5" s="89"/>
      <c r="E5" s="125"/>
      <c r="F5" s="92"/>
      <c r="G5" s="93"/>
      <c r="H5" s="92"/>
      <c r="I5" s="92"/>
      <c r="J5" s="93"/>
      <c r="K5" s="358"/>
      <c r="L5" s="358"/>
      <c r="M5" s="359"/>
      <c r="N5" s="361" t="str">
        <f t="shared" si="2"/>
        <v/>
      </c>
      <c r="O5" s="362" t="str">
        <f t="shared" si="3"/>
        <v/>
      </c>
      <c r="P5" s="361">
        <f t="shared" si="4"/>
        <v>0</v>
      </c>
      <c r="Q5" s="361">
        <f t="shared" si="5"/>
        <v>0</v>
      </c>
      <c r="R5" s="361">
        <f t="shared" si="6"/>
        <v>-1E-4</v>
      </c>
      <c r="T5" s="218" t="s">
        <v>2</v>
      </c>
      <c r="U5" s="49">
        <f>SUMIFS(IJPLC,IJPLD,"&gt;="&amp;IPOCT,IJPLD,"&lt;="&amp;EOMONTH(IPOCT,2))</f>
        <v>0</v>
      </c>
      <c r="V5" s="13"/>
      <c r="W5" s="224" t="s">
        <v>2</v>
      </c>
      <c r="X5" s="226">
        <f>SUMIFS(IJACC,IJDAP,"&gt;="&amp;IPOCT,IJDAP,"&lt;="&amp;EOMONTH(IPOCT,2))</f>
        <v>0</v>
      </c>
      <c r="Y5" s="350">
        <f>DATE(($T$2-1),11,1)</f>
        <v>44501</v>
      </c>
      <c r="Z5" s="348"/>
      <c r="AA5" s="348"/>
      <c r="AB5" s="351">
        <f t="shared" ref="AB5:AB15" si="7">IFERROR(Z5/AA5,0)</f>
        <v>0</v>
      </c>
    </row>
    <row r="6" spans="1:28" ht="15" customHeight="1" x14ac:dyDescent="0.25">
      <c r="A6" s="423" t="str">
        <f>IFERROR(VLOOKUP(D6,'JONS-ADPLANNING'!$G$3:$K$44,2),"")</f>
        <v/>
      </c>
      <c r="B6" s="423" t="str">
        <f>IFERROR(VLOOKUP($D6,HELPER!$A$1:$B$42,2,FALSE),"")</f>
        <v/>
      </c>
      <c r="C6" s="125"/>
      <c r="D6" s="89"/>
      <c r="E6" s="125"/>
      <c r="F6" s="92"/>
      <c r="G6" s="93"/>
      <c r="H6" s="92"/>
      <c r="I6" s="92"/>
      <c r="J6" s="93"/>
      <c r="K6" s="358"/>
      <c r="L6" s="358"/>
      <c r="M6" s="359"/>
      <c r="N6" s="361" t="str">
        <f t="shared" si="2"/>
        <v/>
      </c>
      <c r="O6" s="362" t="str">
        <f t="shared" si="3"/>
        <v/>
      </c>
      <c r="P6" s="361">
        <f t="shared" si="4"/>
        <v>0</v>
      </c>
      <c r="Q6" s="361">
        <f t="shared" si="5"/>
        <v>0</v>
      </c>
      <c r="R6" s="361">
        <f t="shared" si="6"/>
        <v>-1E-4</v>
      </c>
      <c r="T6" s="218" t="s">
        <v>3</v>
      </c>
      <c r="U6" s="49">
        <f>SUMIFS(IJPLC,IJPLD,"&gt;="&amp;IPJAN,IJPLD,"&lt;="&amp;EOMONTH(IPJAN,2))</f>
        <v>0</v>
      </c>
      <c r="V6" s="13"/>
      <c r="W6" s="224" t="s">
        <v>3</v>
      </c>
      <c r="X6" s="226">
        <f>SUMIFS(IJACC,IJDAP,"&gt;="&amp;IPJAN,IJDAP,"&lt;="&amp;EOMONTH(IPJAN,2))</f>
        <v>0</v>
      </c>
      <c r="Y6" s="350">
        <f>DATE(($T$2-1),12,1)</f>
        <v>44531</v>
      </c>
      <c r="Z6" s="348"/>
      <c r="AA6" s="348"/>
      <c r="AB6" s="351">
        <f t="shared" si="7"/>
        <v>0</v>
      </c>
    </row>
    <row r="7" spans="1:28" ht="15" customHeight="1" x14ac:dyDescent="0.25">
      <c r="A7" s="423" t="str">
        <f>IFERROR(VLOOKUP(D7,'JONS-ADPLANNING'!$G$3:$K$44,2),"")</f>
        <v/>
      </c>
      <c r="B7" s="423" t="str">
        <f>IFERROR(VLOOKUP($D7,HELPER!$A$1:$B$42,2,FALSE),"")</f>
        <v/>
      </c>
      <c r="C7" s="125"/>
      <c r="D7" s="89"/>
      <c r="E7" s="125"/>
      <c r="F7" s="92"/>
      <c r="G7" s="93"/>
      <c r="H7" s="92"/>
      <c r="I7" s="92"/>
      <c r="J7" s="93"/>
      <c r="K7" s="358"/>
      <c r="L7" s="358"/>
      <c r="M7" s="359"/>
      <c r="N7" s="361" t="str">
        <f t="shared" si="2"/>
        <v/>
      </c>
      <c r="O7" s="362" t="str">
        <f t="shared" si="3"/>
        <v/>
      </c>
      <c r="P7" s="361">
        <f t="shared" si="4"/>
        <v>0</v>
      </c>
      <c r="Q7" s="361">
        <f t="shared" si="5"/>
        <v>0</v>
      </c>
      <c r="R7" s="361">
        <f t="shared" si="6"/>
        <v>-1E-4</v>
      </c>
      <c r="T7" s="218" t="s">
        <v>4</v>
      </c>
      <c r="U7" s="49">
        <f>SUMIFS(IJPLC,IJPLD,"&gt;="&amp;IPAPR,IJPLD,"&lt;="&amp;EOMONTH(IPAPR,2))</f>
        <v>0</v>
      </c>
      <c r="V7" s="13"/>
      <c r="W7" s="224" t="s">
        <v>4</v>
      </c>
      <c r="X7" s="226">
        <f>SUMIFS(IJACC,IJDAP,"&gt;="&amp;IPAPR,IJDAP,"&lt;="&amp;EOMONTH(IPAPR,2))</f>
        <v>0</v>
      </c>
      <c r="Y7" s="350">
        <f>DATE(($T$2),1,1)</f>
        <v>44562</v>
      </c>
      <c r="Z7" s="348"/>
      <c r="AA7" s="348"/>
      <c r="AB7" s="351">
        <f t="shared" si="7"/>
        <v>0</v>
      </c>
    </row>
    <row r="8" spans="1:28" ht="15" customHeight="1" thickBot="1" x14ac:dyDescent="0.3">
      <c r="A8" s="423" t="str">
        <f>IFERROR(VLOOKUP(D8,'JONS-ADPLANNING'!$G$3:$K$44,2),"")</f>
        <v/>
      </c>
      <c r="B8" s="423" t="str">
        <f>IFERROR(VLOOKUP($D8,HELPER!$A$1:$B$42,2,FALSE),"")</f>
        <v/>
      </c>
      <c r="C8" s="125"/>
      <c r="D8" s="89"/>
      <c r="E8" s="125"/>
      <c r="F8" s="92"/>
      <c r="G8" s="93"/>
      <c r="H8" s="92"/>
      <c r="I8" s="92"/>
      <c r="J8" s="93"/>
      <c r="K8" s="358"/>
      <c r="L8" s="358"/>
      <c r="M8" s="359"/>
      <c r="N8" s="361" t="str">
        <f t="shared" si="2"/>
        <v/>
      </c>
      <c r="O8" s="362" t="str">
        <f t="shared" si="3"/>
        <v/>
      </c>
      <c r="P8" s="361">
        <f t="shared" si="4"/>
        <v>0</v>
      </c>
      <c r="Q8" s="361">
        <f t="shared" si="5"/>
        <v>0</v>
      </c>
      <c r="R8" s="361">
        <f t="shared" si="6"/>
        <v>-1E-4</v>
      </c>
      <c r="T8" s="219" t="s">
        <v>5</v>
      </c>
      <c r="U8" s="49">
        <f>SUMIFS(IJPLC,IJPLD,"&gt;="&amp;IPJUL,IJPLD,"&lt;="&amp;EOMONTH(IPJUL,2))</f>
        <v>0</v>
      </c>
      <c r="V8" s="13"/>
      <c r="W8" s="225" t="s">
        <v>5</v>
      </c>
      <c r="X8" s="227">
        <f>SUMIFS(IJACC,IJDAP,"&gt;="&amp;IPJUL,IJDAP,"&lt;="&amp;EOMONTH(IPJUL,2))</f>
        <v>0</v>
      </c>
      <c r="Y8" s="350">
        <f>DATE(($T$2),2,1)</f>
        <v>44593</v>
      </c>
      <c r="Z8" s="348"/>
      <c r="AA8" s="348"/>
      <c r="AB8" s="351">
        <f t="shared" si="7"/>
        <v>0</v>
      </c>
    </row>
    <row r="9" spans="1:28" ht="15" customHeight="1" thickBot="1" x14ac:dyDescent="0.3">
      <c r="A9" s="423" t="str">
        <f>IFERROR(VLOOKUP(D9,'JONS-ADPLANNING'!$G$3:$K$44,2),"")</f>
        <v/>
      </c>
      <c r="B9" s="423" t="str">
        <f>IFERROR(VLOOKUP($D9,HELPER!$A$1:$B$42,2,FALSE),"")</f>
        <v/>
      </c>
      <c r="C9" s="125"/>
      <c r="D9" s="89"/>
      <c r="E9" s="125"/>
      <c r="F9" s="92"/>
      <c r="G9" s="93"/>
      <c r="H9" s="92"/>
      <c r="I9" s="92"/>
      <c r="J9" s="93"/>
      <c r="K9" s="358"/>
      <c r="L9" s="358"/>
      <c r="M9" s="359"/>
      <c r="N9" s="361" t="str">
        <f t="shared" si="2"/>
        <v/>
      </c>
      <c r="O9" s="362" t="str">
        <f t="shared" si="3"/>
        <v/>
      </c>
      <c r="P9" s="361">
        <f t="shared" si="4"/>
        <v>0</v>
      </c>
      <c r="Q9" s="361">
        <f t="shared" si="5"/>
        <v>0</v>
      </c>
      <c r="R9" s="361">
        <f t="shared" si="6"/>
        <v>-1E-4</v>
      </c>
      <c r="T9" s="27" t="s">
        <v>6</v>
      </c>
      <c r="U9" s="28">
        <f>SUM(U5:U8)</f>
        <v>0</v>
      </c>
      <c r="V9" s="13"/>
      <c r="W9" s="29" t="s">
        <v>6</v>
      </c>
      <c r="X9" s="228">
        <f>SUM(X5:X8)</f>
        <v>0</v>
      </c>
      <c r="Y9" s="350">
        <f>DATE(($T$2),3,1)</f>
        <v>44621</v>
      </c>
      <c r="Z9" s="348"/>
      <c r="AA9" s="348"/>
      <c r="AB9" s="351">
        <f t="shared" si="7"/>
        <v>0</v>
      </c>
    </row>
    <row r="10" spans="1:28" ht="15" customHeight="1" x14ac:dyDescent="0.25">
      <c r="A10" s="423" t="str">
        <f>IFERROR(VLOOKUP(D10,'JONS-ADPLANNING'!$G$3:$K$44,2),"")</f>
        <v/>
      </c>
      <c r="B10" s="423" t="str">
        <f>IFERROR(VLOOKUP($D10,HELPER!$A$1:$B$42,2,FALSE),"")</f>
        <v/>
      </c>
      <c r="C10" s="125"/>
      <c r="D10" s="89"/>
      <c r="E10" s="125"/>
      <c r="F10" s="92"/>
      <c r="G10" s="93"/>
      <c r="H10" s="92"/>
      <c r="I10" s="92"/>
      <c r="J10" s="93"/>
      <c r="K10" s="358"/>
      <c r="L10" s="358"/>
      <c r="M10" s="359"/>
      <c r="N10" s="361" t="str">
        <f t="shared" si="2"/>
        <v/>
      </c>
      <c r="O10" s="362" t="str">
        <f t="shared" si="3"/>
        <v/>
      </c>
      <c r="P10" s="361">
        <f t="shared" si="4"/>
        <v>0</v>
      </c>
      <c r="Q10" s="361">
        <f t="shared" si="5"/>
        <v>0</v>
      </c>
      <c r="R10" s="361">
        <f t="shared" si="6"/>
        <v>-1E-4</v>
      </c>
      <c r="T10" s="650" t="s">
        <v>21</v>
      </c>
      <c r="U10" s="651"/>
      <c r="V10" s="13"/>
      <c r="W10" s="722" t="s">
        <v>21</v>
      </c>
      <c r="X10" s="723"/>
      <c r="Y10" s="350">
        <f>DATE(($T$2),4,1)</f>
        <v>44652</v>
      </c>
      <c r="Z10" s="348"/>
      <c r="AA10" s="348"/>
      <c r="AB10" s="351">
        <f t="shared" si="7"/>
        <v>0</v>
      </c>
    </row>
    <row r="11" spans="1:28" ht="15" customHeight="1" x14ac:dyDescent="0.25">
      <c r="A11" s="423" t="str">
        <f>IFERROR(VLOOKUP(D11,'JONS-ADPLANNING'!$G$3:$K$44,2),"")</f>
        <v/>
      </c>
      <c r="B11" s="423" t="str">
        <f>IFERROR(VLOOKUP($D11,HELPER!$A$1:$B$42,2,FALSE),"")</f>
        <v/>
      </c>
      <c r="C11" s="89"/>
      <c r="D11" s="89"/>
      <c r="E11" s="89"/>
      <c r="F11" s="92"/>
      <c r="G11" s="93"/>
      <c r="H11" s="92"/>
      <c r="I11" s="92"/>
      <c r="J11" s="93"/>
      <c r="K11" s="358"/>
      <c r="L11" s="358"/>
      <c r="M11" s="359"/>
      <c r="N11" s="361" t="str">
        <f t="shared" si="2"/>
        <v/>
      </c>
      <c r="O11" s="362" t="str">
        <f t="shared" si="3"/>
        <v/>
      </c>
      <c r="P11" s="361">
        <f t="shared" si="4"/>
        <v>0</v>
      </c>
      <c r="Q11" s="361">
        <f t="shared" si="5"/>
        <v>0</v>
      </c>
      <c r="R11" s="361">
        <f t="shared" si="6"/>
        <v>-1E-4</v>
      </c>
      <c r="T11" s="344">
        <f>DATE(($T$2-1),10,1)</f>
        <v>44470</v>
      </c>
      <c r="U11" s="49">
        <f>SUMIFS(IJPLC,IJPLD,"&gt;="&amp;IPOCT,IJPLD,"&lt;="&amp;EOMONTH(IPOCT,0))</f>
        <v>0</v>
      </c>
      <c r="V11" s="13"/>
      <c r="W11" s="224" t="s">
        <v>18</v>
      </c>
      <c r="X11" s="226">
        <f>SUMIFS(IJACC,IJDAP,"&gt;="&amp;IPOCT,IJDAP,"&lt;="&amp;EOMONTH(IPOCT,0))</f>
        <v>0</v>
      </c>
      <c r="Y11" s="350">
        <f>DATE(($T$2),5,1)</f>
        <v>44682</v>
      </c>
      <c r="Z11" s="348"/>
      <c r="AA11" s="348"/>
      <c r="AB11" s="351">
        <f t="shared" si="7"/>
        <v>0</v>
      </c>
    </row>
    <row r="12" spans="1:28" ht="15" customHeight="1" x14ac:dyDescent="0.25">
      <c r="A12" s="423" t="str">
        <f>IFERROR(VLOOKUP(D12,'JONS-ADPLANNING'!$G$3:$K$44,2),"")</f>
        <v/>
      </c>
      <c r="B12" s="423" t="str">
        <f>IFERROR(VLOOKUP($D12,HELPER!$A$1:$B$42,2,FALSE),"")</f>
        <v/>
      </c>
      <c r="C12" s="89"/>
      <c r="D12" s="89"/>
      <c r="E12" s="89"/>
      <c r="F12" s="92"/>
      <c r="G12" s="93"/>
      <c r="H12" s="92"/>
      <c r="I12" s="92"/>
      <c r="J12" s="93"/>
      <c r="K12" s="358"/>
      <c r="L12" s="358"/>
      <c r="M12" s="359"/>
      <c r="N12" s="361" t="str">
        <f t="shared" si="2"/>
        <v/>
      </c>
      <c r="O12" s="362" t="str">
        <f t="shared" si="3"/>
        <v/>
      </c>
      <c r="P12" s="361">
        <f t="shared" si="4"/>
        <v>0</v>
      </c>
      <c r="Q12" s="361">
        <f t="shared" si="5"/>
        <v>0</v>
      </c>
      <c r="R12" s="361">
        <f t="shared" si="6"/>
        <v>-1E-4</v>
      </c>
      <c r="T12" s="344">
        <f>DATE(($T$2-1),11,1)</f>
        <v>44501</v>
      </c>
      <c r="U12" s="49">
        <f>SUMIFS(IJPLC,IJPLD,"&gt;="&amp;IPNOV,IJPLD,"&lt;="&amp;EOMONTH(IPNOV,0))</f>
        <v>0</v>
      </c>
      <c r="V12" s="13"/>
      <c r="W12" s="224" t="s">
        <v>19</v>
      </c>
      <c r="X12" s="226">
        <f>SUMIFS(IJACC,IJDAP,"&gt;="&amp;IPNOV,IJDAP,"&lt;="&amp;EOMONTH(IPNOV,0))</f>
        <v>0</v>
      </c>
      <c r="Y12" s="350">
        <f>DATE(($T$2),6,1)</f>
        <v>44713</v>
      </c>
      <c r="Z12" s="348"/>
      <c r="AA12" s="348"/>
      <c r="AB12" s="351">
        <f t="shared" si="7"/>
        <v>0</v>
      </c>
    </row>
    <row r="13" spans="1:28" ht="15" customHeight="1" x14ac:dyDescent="0.25">
      <c r="A13" s="423" t="str">
        <f>IFERROR(VLOOKUP(D13,'JONS-ADPLANNING'!$G$3:$K$44,2),"")</f>
        <v/>
      </c>
      <c r="B13" s="423" t="str">
        <f>IFERROR(VLOOKUP($D13,HELPER!$A$1:$B$42,2,FALSE),"")</f>
        <v/>
      </c>
      <c r="C13" s="89"/>
      <c r="D13" s="89"/>
      <c r="E13" s="89"/>
      <c r="F13" s="92"/>
      <c r="G13" s="93"/>
      <c r="H13" s="92"/>
      <c r="I13" s="92"/>
      <c r="J13" s="93"/>
      <c r="K13" s="358"/>
      <c r="L13" s="358"/>
      <c r="M13" s="359"/>
      <c r="N13" s="361" t="str">
        <f t="shared" si="2"/>
        <v/>
      </c>
      <c r="O13" s="362" t="str">
        <f t="shared" si="3"/>
        <v/>
      </c>
      <c r="P13" s="361">
        <f t="shared" si="4"/>
        <v>0</v>
      </c>
      <c r="Q13" s="361">
        <f t="shared" si="5"/>
        <v>0</v>
      </c>
      <c r="R13" s="361">
        <f t="shared" si="6"/>
        <v>-1E-4</v>
      </c>
      <c r="T13" s="344">
        <f>DATE(($T$2-1),12,1)</f>
        <v>44531</v>
      </c>
      <c r="U13" s="49">
        <f>SUMIFS(IJPLC,IJPLD,"&gt;="&amp;IPDEC,IJPLD,"&lt;="&amp;EOMONTH(IPDEC,0))</f>
        <v>0</v>
      </c>
      <c r="V13" s="13"/>
      <c r="W13" s="224" t="s">
        <v>20</v>
      </c>
      <c r="X13" s="226">
        <f>SUMIFS(IJACC,IJDAP,"&gt;="&amp;IPDEC,IJDAP,"&lt;="&amp;EOMONTH(IPDEC,0))</f>
        <v>0</v>
      </c>
      <c r="Y13" s="350">
        <f>DATE(($T$2),7,1)</f>
        <v>44743</v>
      </c>
      <c r="Z13" s="348"/>
      <c r="AA13" s="348"/>
      <c r="AB13" s="351">
        <f t="shared" si="7"/>
        <v>0</v>
      </c>
    </row>
    <row r="14" spans="1:28" ht="15" customHeight="1" x14ac:dyDescent="0.25">
      <c r="A14" s="423" t="str">
        <f>IFERROR(VLOOKUP(D14,'JONS-ADPLANNING'!$G$3:$K$44,2),"")</f>
        <v/>
      </c>
      <c r="B14" s="423" t="str">
        <f>IFERROR(VLOOKUP($D14,HELPER!$A$1:$B$42,2,FALSE),"")</f>
        <v/>
      </c>
      <c r="C14" s="125"/>
      <c r="D14" s="89"/>
      <c r="E14" s="125"/>
      <c r="F14" s="92"/>
      <c r="G14" s="93"/>
      <c r="H14" s="92"/>
      <c r="I14" s="92"/>
      <c r="J14" s="93"/>
      <c r="K14" s="358"/>
      <c r="L14" s="358"/>
      <c r="M14" s="359"/>
      <c r="N14" s="361" t="str">
        <f t="shared" si="2"/>
        <v/>
      </c>
      <c r="O14" s="362" t="str">
        <f t="shared" si="3"/>
        <v/>
      </c>
      <c r="P14" s="361">
        <f t="shared" si="4"/>
        <v>0</v>
      </c>
      <c r="Q14" s="361">
        <f t="shared" si="5"/>
        <v>0</v>
      </c>
      <c r="R14" s="361">
        <f t="shared" si="6"/>
        <v>-1E-4</v>
      </c>
      <c r="T14" s="344">
        <f>DATE(($T$2),1,1)</f>
        <v>44562</v>
      </c>
      <c r="U14" s="49">
        <f>SUMIFS(IJPLC,IJPLD,"&gt;="&amp;IPJAN,IJPLD,"&lt;="&amp;EOMONTH(IPJAN,0))</f>
        <v>0</v>
      </c>
      <c r="V14" s="13"/>
      <c r="W14" s="224" t="s">
        <v>9</v>
      </c>
      <c r="X14" s="226">
        <f>SUMIFS(IJACC,IJDAP,"&gt;="&amp;IPJAN,IJDAP,"&lt;="&amp;EOMONTH(IPJAN,0))</f>
        <v>0</v>
      </c>
      <c r="Y14" s="350">
        <f>DATE(($T$2),8,1)</f>
        <v>44774</v>
      </c>
      <c r="Z14" s="348"/>
      <c r="AA14" s="348"/>
      <c r="AB14" s="351">
        <f t="shared" si="7"/>
        <v>0</v>
      </c>
    </row>
    <row r="15" spans="1:28" ht="15" customHeight="1" thickBot="1" x14ac:dyDescent="0.3">
      <c r="A15" s="423" t="str">
        <f>IFERROR(VLOOKUP(D15,'JONS-ADPLANNING'!$G$3:$K$44,2),"")</f>
        <v/>
      </c>
      <c r="B15" s="423" t="str">
        <f>IFERROR(VLOOKUP($D15,HELPER!$A$1:$B$42,2,FALSE),"")</f>
        <v/>
      </c>
      <c r="C15" s="125"/>
      <c r="D15" s="89"/>
      <c r="E15" s="125"/>
      <c r="F15" s="92"/>
      <c r="G15" s="93"/>
      <c r="H15" s="92"/>
      <c r="I15" s="92"/>
      <c r="J15" s="93"/>
      <c r="K15" s="358"/>
      <c r="L15" s="358"/>
      <c r="M15" s="359"/>
      <c r="N15" s="361" t="str">
        <f t="shared" si="2"/>
        <v/>
      </c>
      <c r="O15" s="362" t="str">
        <f t="shared" si="3"/>
        <v/>
      </c>
      <c r="P15" s="361">
        <f t="shared" si="4"/>
        <v>0</v>
      </c>
      <c r="Q15" s="361">
        <f t="shared" si="5"/>
        <v>0</v>
      </c>
      <c r="R15" s="361">
        <f t="shared" si="6"/>
        <v>-1E-4</v>
      </c>
      <c r="T15" s="344">
        <f>DATE(($T$2),2,1)</f>
        <v>44593</v>
      </c>
      <c r="U15" s="49">
        <f>SUMIFS(IJPLC,IJPLD,"&gt;="&amp;IPFEB,IJPLD,"&lt;="&amp;EOMONTH(IPFEB,0))</f>
        <v>0</v>
      </c>
      <c r="V15" s="13"/>
      <c r="W15" s="224" t="s">
        <v>10</v>
      </c>
      <c r="X15" s="226">
        <f>SUMIFS(IJACC,IJDAP,"&gt;="&amp;IPFEB,IJDAP,"&lt;="&amp;EOMONTH(IPFEB,0))</f>
        <v>0</v>
      </c>
      <c r="Y15" s="352">
        <f>DATE(($T$2),9,1)</f>
        <v>44805</v>
      </c>
      <c r="Z15" s="353"/>
      <c r="AA15" s="353"/>
      <c r="AB15" s="354">
        <f t="shared" si="7"/>
        <v>0</v>
      </c>
    </row>
    <row r="16" spans="1:28" ht="15" customHeight="1" x14ac:dyDescent="0.25">
      <c r="A16" s="423" t="str">
        <f>IFERROR(VLOOKUP(D16,'JONS-ADPLANNING'!$G$3:$K$44,2),"")</f>
        <v/>
      </c>
      <c r="B16" s="423" t="str">
        <f>IFERROR(VLOOKUP($D16,HELPER!$A$1:$B$42,2,FALSE),"")</f>
        <v/>
      </c>
      <c r="C16" s="125"/>
      <c r="D16" s="89"/>
      <c r="E16" s="125"/>
      <c r="F16" s="92"/>
      <c r="G16" s="93"/>
      <c r="H16" s="92"/>
      <c r="I16" s="92"/>
      <c r="J16" s="93"/>
      <c r="K16" s="358"/>
      <c r="L16" s="358"/>
      <c r="M16" s="359"/>
      <c r="N16" s="361" t="str">
        <f t="shared" si="2"/>
        <v/>
      </c>
      <c r="O16" s="362" t="str">
        <f t="shared" si="3"/>
        <v/>
      </c>
      <c r="P16" s="361">
        <f t="shared" si="4"/>
        <v>0</v>
      </c>
      <c r="Q16" s="361">
        <f t="shared" si="5"/>
        <v>0</v>
      </c>
      <c r="R16" s="361">
        <f t="shared" si="6"/>
        <v>-1E-4</v>
      </c>
      <c r="T16" s="344">
        <f>DATE(($T$2),3,1)</f>
        <v>44621</v>
      </c>
      <c r="U16" s="49">
        <f>SUMIFS(IJPLC,IJPLD,"&gt;="&amp;IPMAR,IJPLD,"&lt;="&amp;EOMONTH(IPMAR,0))</f>
        <v>0</v>
      </c>
      <c r="V16" s="13"/>
      <c r="W16" s="224" t="s">
        <v>11</v>
      </c>
      <c r="X16" s="19">
        <f>SUMIFS(IJACC,IJDAP,"&gt;="&amp;IPMAR,IJDAP,"&lt;="&amp;EOMONTH(IPMAR,0))</f>
        <v>0</v>
      </c>
    </row>
    <row r="17" spans="1:32" ht="15" customHeight="1" x14ac:dyDescent="0.25">
      <c r="A17" s="423" t="str">
        <f>IFERROR(VLOOKUP(D17,'JONS-ADPLANNING'!$G$3:$K$44,2),"")</f>
        <v/>
      </c>
      <c r="B17" s="423" t="str">
        <f>IFERROR(VLOOKUP($D17,HELPER!$A$1:$B$42,2,FALSE),"")</f>
        <v/>
      </c>
      <c r="C17" s="125"/>
      <c r="D17" s="89"/>
      <c r="E17" s="125"/>
      <c r="F17" s="92"/>
      <c r="G17" s="93"/>
      <c r="H17" s="92"/>
      <c r="I17" s="92"/>
      <c r="J17" s="93"/>
      <c r="K17" s="358"/>
      <c r="L17" s="358"/>
      <c r="M17" s="359"/>
      <c r="N17" s="361" t="str">
        <f t="shared" si="2"/>
        <v/>
      </c>
      <c r="O17" s="362" t="str">
        <f t="shared" si="3"/>
        <v/>
      </c>
      <c r="P17" s="361">
        <f t="shared" si="4"/>
        <v>0</v>
      </c>
      <c r="Q17" s="361">
        <f t="shared" si="5"/>
        <v>0</v>
      </c>
      <c r="R17" s="361">
        <f t="shared" si="6"/>
        <v>-1E-4</v>
      </c>
      <c r="T17" s="344">
        <f>DATE(($T$2),4,1)</f>
        <v>44652</v>
      </c>
      <c r="U17" s="49">
        <f>SUMIFS(IJPLC,IJPLD,"&gt;="&amp;IPAPR,IJPLD,"&lt;="&amp;EOMONTH(IPAPR,0))</f>
        <v>0</v>
      </c>
      <c r="V17" s="13"/>
      <c r="W17" s="224" t="s">
        <v>12</v>
      </c>
      <c r="X17" s="19">
        <f>SUMIFS(IJACC,IJDAP,"&gt;="&amp;IPAPR,IJDAP,"&lt;="&amp;EOMONTH(IPAPR,0))</f>
        <v>0</v>
      </c>
    </row>
    <row r="18" spans="1:32" ht="15" customHeight="1" x14ac:dyDescent="0.25">
      <c r="A18" s="423" t="str">
        <f>IFERROR(VLOOKUP(D18,'JONS-ADPLANNING'!$G$3:$K$44,2),"")</f>
        <v/>
      </c>
      <c r="B18" s="423" t="str">
        <f>IFERROR(VLOOKUP($D18,HELPER!$A$1:$B$42,2,FALSE),"")</f>
        <v/>
      </c>
      <c r="C18" s="125"/>
      <c r="D18" s="89"/>
      <c r="E18" s="125"/>
      <c r="F18" s="92"/>
      <c r="G18" s="93"/>
      <c r="H18" s="92"/>
      <c r="I18" s="92"/>
      <c r="J18" s="93"/>
      <c r="K18" s="358"/>
      <c r="L18" s="358"/>
      <c r="M18" s="359"/>
      <c r="N18" s="361" t="str">
        <f t="shared" si="2"/>
        <v/>
      </c>
      <c r="O18" s="362" t="str">
        <f t="shared" si="3"/>
        <v/>
      </c>
      <c r="P18" s="361">
        <f t="shared" si="4"/>
        <v>0</v>
      </c>
      <c r="Q18" s="361">
        <f t="shared" si="5"/>
        <v>0</v>
      </c>
      <c r="R18" s="361">
        <f t="shared" si="6"/>
        <v>-1E-4</v>
      </c>
      <c r="T18" s="344">
        <f>DATE(($T$2),5,1)</f>
        <v>44682</v>
      </c>
      <c r="U18" s="49">
        <f>SUMIFS(IJPLC,IJPLD,"&gt;="&amp;IPMAY,IJPLD,"&lt;="&amp;EOMONTH(IPMAY,0))</f>
        <v>0</v>
      </c>
      <c r="V18" s="13"/>
      <c r="W18" s="224" t="s">
        <v>13</v>
      </c>
      <c r="X18" s="19">
        <f>SUMIFS(IJACC,IJDAP,"&gt;="&amp;IPMAY,IJDAP,"&lt;="&amp;EOMONTH(IPMAY,0))</f>
        <v>0</v>
      </c>
      <c r="AF18" t="s">
        <v>136</v>
      </c>
    </row>
    <row r="19" spans="1:32" ht="15" customHeight="1" x14ac:dyDescent="0.25">
      <c r="A19" s="423" t="str">
        <f>IFERROR(VLOOKUP(D19,'JONS-ADPLANNING'!$G$3:$K$44,2),"")</f>
        <v/>
      </c>
      <c r="B19" s="423" t="str">
        <f>IFERROR(VLOOKUP($D19,HELPER!$A$1:$B$42,2,FALSE),"")</f>
        <v/>
      </c>
      <c r="C19" s="125"/>
      <c r="D19" s="89"/>
      <c r="E19" s="125"/>
      <c r="F19" s="92"/>
      <c r="G19" s="93"/>
      <c r="H19" s="92"/>
      <c r="I19" s="92"/>
      <c r="J19" s="93"/>
      <c r="K19" s="358"/>
      <c r="L19" s="358"/>
      <c r="M19" s="359"/>
      <c r="N19" s="361" t="str">
        <f t="shared" si="2"/>
        <v/>
      </c>
      <c r="O19" s="362" t="str">
        <f t="shared" si="3"/>
        <v/>
      </c>
      <c r="P19" s="361">
        <f t="shared" si="4"/>
        <v>0</v>
      </c>
      <c r="Q19" s="361">
        <f t="shared" si="5"/>
        <v>0</v>
      </c>
      <c r="R19" s="361">
        <f t="shared" si="6"/>
        <v>-1E-4</v>
      </c>
      <c r="T19" s="344">
        <f>DATE(($T$2),6,1)</f>
        <v>44713</v>
      </c>
      <c r="U19" s="49">
        <f>SUMIFS(IJPLC,IJPLD,"&gt;="&amp;IPJUN,IJPLD,"&lt;="&amp;EOMONTH(IPJUN,0))</f>
        <v>0</v>
      </c>
      <c r="V19" s="13"/>
      <c r="W19" s="224" t="s">
        <v>14</v>
      </c>
      <c r="X19" s="19">
        <f>SUMIFS(IJACC,IJDAP,"&gt;="&amp;IPJUN,IJDAP,"&lt;="&amp;EOMONTH(IPJUN,0))</f>
        <v>0</v>
      </c>
    </row>
    <row r="20" spans="1:32" ht="15" customHeight="1" x14ac:dyDescent="0.25">
      <c r="A20" s="423" t="str">
        <f>IFERROR(VLOOKUP(D20,'JONS-ADPLANNING'!$G$3:$K$44,2),"")</f>
        <v/>
      </c>
      <c r="B20" s="423" t="str">
        <f>IFERROR(VLOOKUP($D20,HELPER!$A$1:$B$42,2,FALSE),"")</f>
        <v/>
      </c>
      <c r="C20" s="125"/>
      <c r="D20" s="89"/>
      <c r="E20" s="125"/>
      <c r="F20" s="92"/>
      <c r="G20" s="93"/>
      <c r="H20" s="92"/>
      <c r="I20" s="92"/>
      <c r="J20" s="93"/>
      <c r="K20" s="358"/>
      <c r="L20" s="358"/>
      <c r="M20" s="359"/>
      <c r="N20" s="361" t="str">
        <f t="shared" si="2"/>
        <v/>
      </c>
      <c r="O20" s="362" t="str">
        <f t="shared" si="3"/>
        <v/>
      </c>
      <c r="P20" s="361">
        <f t="shared" si="4"/>
        <v>0</v>
      </c>
      <c r="Q20" s="361">
        <f t="shared" si="5"/>
        <v>0</v>
      </c>
      <c r="R20" s="361">
        <f t="shared" si="6"/>
        <v>-1E-4</v>
      </c>
      <c r="T20" s="344">
        <f>DATE(($T$2),7,1)</f>
        <v>44743</v>
      </c>
      <c r="U20" s="49">
        <f>SUMIFS(IJPLC,IJPLD,"&gt;="&amp;IPJUL,IJPLD,"&lt;="&amp;EOMONTH(IPJUL,0))</f>
        <v>0</v>
      </c>
      <c r="V20" s="13"/>
      <c r="W20" s="224" t="s">
        <v>15</v>
      </c>
      <c r="X20" s="19">
        <f>SUMIFS(IJACC,IJDAP,"&gt;="&amp;IPJUL,IJDAP,"&lt;="&amp;EOMONTH(IPJUL,0))</f>
        <v>0</v>
      </c>
    </row>
    <row r="21" spans="1:32" ht="15" customHeight="1" x14ac:dyDescent="0.25">
      <c r="A21" s="423" t="str">
        <f>IFERROR(VLOOKUP(D21,'JONS-ADPLANNING'!$G$3:$K$44,2),"")</f>
        <v/>
      </c>
      <c r="B21" s="423" t="str">
        <f>IFERROR(VLOOKUP($D21,HELPER!$A$1:$B$42,2,FALSE),"")</f>
        <v/>
      </c>
      <c r="C21" s="125"/>
      <c r="D21" s="89"/>
      <c r="E21" s="125"/>
      <c r="F21" s="92"/>
      <c r="G21" s="93"/>
      <c r="H21" s="92"/>
      <c r="I21" s="92"/>
      <c r="J21" s="93"/>
      <c r="K21" s="358"/>
      <c r="L21" s="358"/>
      <c r="M21" s="359"/>
      <c r="N21" s="361" t="str">
        <f t="shared" si="2"/>
        <v/>
      </c>
      <c r="O21" s="362" t="str">
        <f t="shared" si="3"/>
        <v/>
      </c>
      <c r="P21" s="361">
        <f t="shared" si="4"/>
        <v>0</v>
      </c>
      <c r="Q21" s="361">
        <f t="shared" si="5"/>
        <v>0</v>
      </c>
      <c r="R21" s="361">
        <f t="shared" si="6"/>
        <v>-1E-4</v>
      </c>
      <c r="T21" s="344">
        <f>DATE(($T$2),8,1)</f>
        <v>44774</v>
      </c>
      <c r="U21" s="49">
        <f>SUMIFS(IJPLC,IJPLD,"&gt;="&amp;IPAUG,IJPLD,"&lt;="&amp;EOMONTH(IPAUG,0))</f>
        <v>0</v>
      </c>
      <c r="V21" s="13"/>
      <c r="W21" s="224" t="s">
        <v>16</v>
      </c>
      <c r="X21" s="19">
        <f>SUMIFS(IJACC,IJDAP,"&gt;="&amp;IPAUG,IJDAP,"&lt;="&amp;EOMONTH(IPAUG,0))</f>
        <v>0</v>
      </c>
    </row>
    <row r="22" spans="1:32" ht="15" customHeight="1" thickBot="1" x14ac:dyDescent="0.3">
      <c r="A22" s="423" t="str">
        <f>IFERROR(VLOOKUP(D22,'JONS-ADPLANNING'!$G$3:$K$44,2),"")</f>
        <v/>
      </c>
      <c r="B22" s="423" t="str">
        <f>IFERROR(VLOOKUP($D22,HELPER!$A$1:$B$42,2,FALSE),"")</f>
        <v/>
      </c>
      <c r="C22" s="125"/>
      <c r="D22" s="89"/>
      <c r="E22" s="125"/>
      <c r="F22" s="92"/>
      <c r="G22" s="93"/>
      <c r="H22" s="92"/>
      <c r="I22" s="92"/>
      <c r="J22" s="93"/>
      <c r="K22" s="358"/>
      <c r="L22" s="358"/>
      <c r="M22" s="359"/>
      <c r="N22" s="361" t="str">
        <f t="shared" si="2"/>
        <v/>
      </c>
      <c r="O22" s="362" t="str">
        <f t="shared" si="3"/>
        <v/>
      </c>
      <c r="P22" s="361">
        <f t="shared" si="4"/>
        <v>0</v>
      </c>
      <c r="Q22" s="361">
        <f t="shared" si="5"/>
        <v>0</v>
      </c>
      <c r="R22" s="361">
        <f t="shared" si="6"/>
        <v>-1E-4</v>
      </c>
      <c r="T22" s="344">
        <f>DATE(($T$2),9,1)</f>
        <v>44805</v>
      </c>
      <c r="U22" s="49">
        <f>SUMIFS(IJPLC,IJPLD,"&gt;="&amp;IPSEP,IJPLD,"&lt;="&amp;EOMONTH(IPSEP,0))</f>
        <v>0</v>
      </c>
      <c r="V22" s="13"/>
      <c r="W22" s="225" t="s">
        <v>17</v>
      </c>
      <c r="X22" s="19">
        <f>SUMIFS(IJACC,IJDAP,"&gt;="&amp;IPSEP,IJDAP,"&lt;="&amp;EOMONTH(IPSEP,0))</f>
        <v>0</v>
      </c>
    </row>
    <row r="23" spans="1:32" ht="15" customHeight="1" thickBot="1" x14ac:dyDescent="0.3">
      <c r="A23" s="423" t="str">
        <f>IFERROR(VLOOKUP(D23,'JONS-ADPLANNING'!$G$3:$K$44,2),"")</f>
        <v/>
      </c>
      <c r="B23" s="423" t="str">
        <f>IFERROR(VLOOKUP($D23,HELPER!$A$1:$B$42,2,FALSE),"")</f>
        <v/>
      </c>
      <c r="C23" s="125"/>
      <c r="D23" s="89"/>
      <c r="E23" s="125"/>
      <c r="F23" s="92"/>
      <c r="G23" s="93"/>
      <c r="H23" s="92"/>
      <c r="I23" s="92"/>
      <c r="J23" s="93"/>
      <c r="K23" s="358"/>
      <c r="L23" s="358"/>
      <c r="M23" s="359"/>
      <c r="N23" s="361" t="str">
        <f t="shared" si="2"/>
        <v/>
      </c>
      <c r="O23" s="362" t="str">
        <f t="shared" si="3"/>
        <v/>
      </c>
      <c r="P23" s="361">
        <f t="shared" si="4"/>
        <v>0</v>
      </c>
      <c r="Q23" s="361">
        <f t="shared" si="5"/>
        <v>0</v>
      </c>
      <c r="R23" s="361">
        <f t="shared" si="6"/>
        <v>-1E-4</v>
      </c>
      <c r="T23" s="27" t="s">
        <v>6</v>
      </c>
      <c r="U23" s="28">
        <f>SUM(U11:U22)</f>
        <v>0</v>
      </c>
      <c r="V23" s="38"/>
      <c r="W23" s="29" t="s">
        <v>6</v>
      </c>
      <c r="X23" s="30">
        <f>SUM(X11:X22)</f>
        <v>0</v>
      </c>
    </row>
    <row r="24" spans="1:32" ht="15" customHeight="1" x14ac:dyDescent="0.25">
      <c r="A24" s="423" t="str">
        <f>IFERROR(VLOOKUP(D24,'JONS-ADPLANNING'!$G$3:$K$44,2),"")</f>
        <v/>
      </c>
      <c r="B24" s="423" t="str">
        <f>IFERROR(VLOOKUP($D24,HELPER!$A$1:$B$42,2,FALSE),"")</f>
        <v/>
      </c>
      <c r="C24" s="125"/>
      <c r="D24" s="89"/>
      <c r="E24" s="125"/>
      <c r="F24" s="92"/>
      <c r="G24" s="93"/>
      <c r="H24" s="92"/>
      <c r="I24" s="92"/>
      <c r="J24" s="93"/>
      <c r="K24" s="358"/>
      <c r="L24" s="358"/>
      <c r="M24" s="359"/>
      <c r="N24" s="361" t="str">
        <f t="shared" si="2"/>
        <v/>
      </c>
      <c r="O24" s="362" t="str">
        <f t="shared" si="3"/>
        <v/>
      </c>
      <c r="P24" s="361">
        <f t="shared" si="4"/>
        <v>0</v>
      </c>
      <c r="Q24" s="361">
        <f t="shared" si="5"/>
        <v>0</v>
      </c>
      <c r="R24" s="361">
        <f t="shared" si="6"/>
        <v>-1E-4</v>
      </c>
    </row>
    <row r="25" spans="1:32" ht="15" customHeight="1" x14ac:dyDescent="0.25">
      <c r="A25" s="423" t="str">
        <f>IFERROR(VLOOKUP(D25,'JONS-ADPLANNING'!$G$3:$K$44,2),"")</f>
        <v/>
      </c>
      <c r="B25" s="423" t="str">
        <f>IFERROR(VLOOKUP($D25,HELPER!$A$1:$B$42,2,FALSE),"")</f>
        <v/>
      </c>
      <c r="C25" s="125"/>
      <c r="D25" s="89"/>
      <c r="E25" s="125"/>
      <c r="F25" s="92"/>
      <c r="G25" s="93"/>
      <c r="H25" s="92"/>
      <c r="I25" s="92"/>
      <c r="J25" s="93"/>
      <c r="K25" s="358"/>
      <c r="L25" s="358"/>
      <c r="M25" s="359"/>
      <c r="N25" s="361" t="str">
        <f t="shared" si="2"/>
        <v/>
      </c>
      <c r="O25" s="362" t="str">
        <f t="shared" si="3"/>
        <v/>
      </c>
      <c r="P25" s="361">
        <f t="shared" si="4"/>
        <v>0</v>
      </c>
      <c r="Q25" s="361">
        <f t="shared" si="5"/>
        <v>0</v>
      </c>
      <c r="R25" s="361">
        <f t="shared" si="6"/>
        <v>-1E-4</v>
      </c>
      <c r="T25" s="709" t="s">
        <v>243</v>
      </c>
      <c r="U25" s="709"/>
      <c r="V25" s="709"/>
      <c r="W25" s="709"/>
      <c r="X25" s="709"/>
    </row>
    <row r="26" spans="1:32" ht="15" customHeight="1" x14ac:dyDescent="0.25">
      <c r="A26" s="423" t="str">
        <f>IFERROR(VLOOKUP(D26,'JONS-ADPLANNING'!$G$3:$K$44,2),"")</f>
        <v/>
      </c>
      <c r="B26" s="423" t="str">
        <f>IFERROR(VLOOKUP($D26,HELPER!$A$1:$B$42,2,FALSE),"")</f>
        <v/>
      </c>
      <c r="C26" s="125"/>
      <c r="D26" s="89"/>
      <c r="E26" s="125"/>
      <c r="F26" s="92"/>
      <c r="G26" s="93"/>
      <c r="H26" s="92"/>
      <c r="I26" s="92"/>
      <c r="J26" s="93"/>
      <c r="K26" s="358"/>
      <c r="L26" s="358"/>
      <c r="M26" s="359"/>
      <c r="N26" s="361" t="str">
        <f t="shared" si="2"/>
        <v/>
      </c>
      <c r="O26" s="362" t="str">
        <f t="shared" si="3"/>
        <v/>
      </c>
      <c r="P26" s="361">
        <f t="shared" si="4"/>
        <v>0</v>
      </c>
      <c r="Q26" s="361">
        <f t="shared" si="5"/>
        <v>0</v>
      </c>
      <c r="R26" s="361">
        <f t="shared" si="6"/>
        <v>-1E-4</v>
      </c>
      <c r="T26" s="710" t="s">
        <v>265</v>
      </c>
      <c r="U26" s="710"/>
      <c r="V26" s="710"/>
      <c r="W26" s="710"/>
      <c r="X26" s="710"/>
    </row>
    <row r="27" spans="1:32" ht="15" customHeight="1" x14ac:dyDescent="0.25">
      <c r="A27" s="423" t="str">
        <f>IFERROR(VLOOKUP(D27,'JONS-ADPLANNING'!$G$3:$K$44,2),"")</f>
        <v/>
      </c>
      <c r="B27" s="423" t="str">
        <f>IFERROR(VLOOKUP($D27,HELPER!$A$1:$B$42,2,FALSE),"")</f>
        <v/>
      </c>
      <c r="C27" s="125"/>
      <c r="D27" s="89"/>
      <c r="E27" s="125"/>
      <c r="F27" s="92"/>
      <c r="G27" s="93"/>
      <c r="H27" s="92"/>
      <c r="I27" s="92"/>
      <c r="J27" s="93"/>
      <c r="K27" s="358"/>
      <c r="L27" s="358"/>
      <c r="M27" s="359"/>
      <c r="N27" s="361" t="str">
        <f t="shared" si="2"/>
        <v/>
      </c>
      <c r="O27" s="362" t="str">
        <f t="shared" si="3"/>
        <v/>
      </c>
      <c r="P27" s="361">
        <f t="shared" si="4"/>
        <v>0</v>
      </c>
      <c r="Q27" s="361">
        <f t="shared" si="5"/>
        <v>0</v>
      </c>
      <c r="R27" s="361">
        <f t="shared" si="6"/>
        <v>-1E-4</v>
      </c>
    </row>
    <row r="28" spans="1:32" ht="15" customHeight="1" x14ac:dyDescent="0.25">
      <c r="A28" s="423" t="str">
        <f>IFERROR(VLOOKUP(D28,'JONS-ADPLANNING'!$G$3:$K$44,2),"")</f>
        <v/>
      </c>
      <c r="B28" s="423" t="str">
        <f>IFERROR(VLOOKUP($D28,HELPER!$A$1:$B$42,2,FALSE),"")</f>
        <v/>
      </c>
      <c r="C28" s="125"/>
      <c r="D28" s="89"/>
      <c r="E28" s="125"/>
      <c r="F28" s="92"/>
      <c r="G28" s="93"/>
      <c r="H28" s="92"/>
      <c r="I28" s="92"/>
      <c r="J28" s="93"/>
      <c r="K28" s="358"/>
      <c r="L28" s="358"/>
      <c r="M28" s="359"/>
      <c r="N28" s="361" t="str">
        <f t="shared" si="2"/>
        <v/>
      </c>
      <c r="O28" s="362" t="str">
        <f t="shared" si="3"/>
        <v/>
      </c>
      <c r="P28" s="361">
        <f t="shared" si="4"/>
        <v>0</v>
      </c>
      <c r="Q28" s="361">
        <f t="shared" si="5"/>
        <v>0</v>
      </c>
      <c r="R28" s="361">
        <f t="shared" si="6"/>
        <v>-1E-4</v>
      </c>
      <c r="U28" s="46">
        <f>J2/2</f>
        <v>0</v>
      </c>
    </row>
    <row r="29" spans="1:32" x14ac:dyDescent="0.25">
      <c r="A29" s="423" t="str">
        <f>IFERROR(VLOOKUP(D29,'JONS-ADPLANNING'!$G$3:$K$44,2),"")</f>
        <v/>
      </c>
      <c r="B29" s="423" t="str">
        <f>IFERROR(VLOOKUP($D29,HELPER!$A$1:$B$42,2,FALSE),"")</f>
        <v/>
      </c>
      <c r="C29" s="125"/>
      <c r="D29" s="89"/>
      <c r="E29" s="125"/>
      <c r="F29" s="92"/>
      <c r="G29" s="93"/>
      <c r="H29" s="92"/>
      <c r="I29" s="92"/>
      <c r="J29" s="93"/>
      <c r="K29" s="358"/>
      <c r="L29" s="358"/>
      <c r="M29" s="359"/>
      <c r="N29" s="361" t="str">
        <f t="shared" si="2"/>
        <v/>
      </c>
      <c r="O29" s="362" t="str">
        <f t="shared" si="3"/>
        <v/>
      </c>
      <c r="P29" s="361">
        <f t="shared" si="4"/>
        <v>0</v>
      </c>
      <c r="Q29" s="361">
        <f t="shared" si="5"/>
        <v>0</v>
      </c>
      <c r="R29" s="361">
        <f t="shared" si="6"/>
        <v>-1E-4</v>
      </c>
    </row>
    <row r="30" spans="1:32" x14ac:dyDescent="0.25">
      <c r="A30" s="423" t="str">
        <f>IFERROR(VLOOKUP(D30,'JONS-ADPLANNING'!$G$3:$K$44,2),"")</f>
        <v/>
      </c>
      <c r="B30" s="423" t="str">
        <f>IFERROR(VLOOKUP($D30,HELPER!$A$1:$B$42,2,FALSE),"")</f>
        <v/>
      </c>
      <c r="C30" s="89"/>
      <c r="D30" s="89"/>
      <c r="E30" s="89"/>
      <c r="F30" s="92"/>
      <c r="G30" s="93"/>
      <c r="H30" s="92"/>
      <c r="I30" s="92"/>
      <c r="J30" s="93"/>
      <c r="K30" s="358"/>
      <c r="L30" s="358"/>
      <c r="M30" s="359"/>
      <c r="N30" s="361" t="str">
        <f t="shared" si="2"/>
        <v/>
      </c>
      <c r="O30" s="362" t="str">
        <f t="shared" si="3"/>
        <v/>
      </c>
      <c r="P30" s="361">
        <f t="shared" si="4"/>
        <v>0</v>
      </c>
      <c r="Q30" s="361">
        <f t="shared" si="5"/>
        <v>0</v>
      </c>
      <c r="R30" s="361">
        <f t="shared" si="6"/>
        <v>-1E-4</v>
      </c>
    </row>
    <row r="31" spans="1:32" x14ac:dyDescent="0.25">
      <c r="A31" s="423" t="str">
        <f>IFERROR(VLOOKUP(D31,'JONS-ADPLANNING'!$G$3:$K$44,2),"")</f>
        <v/>
      </c>
      <c r="B31" s="423" t="str">
        <f>IFERROR(VLOOKUP($D31,HELPER!$A$1:$B$42,2,FALSE),"")</f>
        <v/>
      </c>
      <c r="C31" s="89"/>
      <c r="D31" s="89"/>
      <c r="E31" s="89"/>
      <c r="F31" s="92"/>
      <c r="G31" s="93"/>
      <c r="H31" s="92"/>
      <c r="I31" s="92"/>
      <c r="J31" s="93"/>
      <c r="K31" s="358"/>
      <c r="L31" s="358"/>
      <c r="M31" s="359"/>
      <c r="N31" s="361" t="str">
        <f t="shared" si="2"/>
        <v/>
      </c>
      <c r="O31" s="362" t="str">
        <f t="shared" si="3"/>
        <v/>
      </c>
      <c r="P31" s="361">
        <f t="shared" si="4"/>
        <v>0</v>
      </c>
      <c r="Q31" s="361">
        <f t="shared" si="5"/>
        <v>0</v>
      </c>
      <c r="R31" s="361">
        <f t="shared" si="6"/>
        <v>-1E-4</v>
      </c>
      <c r="U31">
        <v>5000</v>
      </c>
      <c r="W31">
        <v>250</v>
      </c>
      <c r="X31">
        <v>21</v>
      </c>
      <c r="Y31">
        <v>100</v>
      </c>
      <c r="Z31" s="95">
        <f>(W31/U31)</f>
        <v>0.05</v>
      </c>
    </row>
    <row r="32" spans="1:32" x14ac:dyDescent="0.25">
      <c r="A32" s="423" t="str">
        <f>IFERROR(VLOOKUP(D32,'JONS-ADPLANNING'!$G$3:$K$44,2),"")</f>
        <v/>
      </c>
      <c r="B32" s="423" t="str">
        <f>IFERROR(VLOOKUP($D32,HELPER!$A$1:$B$42,2,FALSE),"")</f>
        <v/>
      </c>
      <c r="C32" s="89"/>
      <c r="D32" s="89"/>
      <c r="E32" s="89"/>
      <c r="F32" s="92"/>
      <c r="G32" s="93"/>
      <c r="H32" s="92"/>
      <c r="I32" s="92"/>
      <c r="J32" s="93"/>
      <c r="K32" s="358"/>
      <c r="L32" s="358"/>
      <c r="M32" s="359"/>
      <c r="N32" s="361" t="str">
        <f t="shared" si="2"/>
        <v/>
      </c>
      <c r="O32" s="362" t="str">
        <f t="shared" si="3"/>
        <v/>
      </c>
      <c r="P32" s="361">
        <f t="shared" si="4"/>
        <v>0</v>
      </c>
      <c r="Q32" s="361">
        <f t="shared" si="5"/>
        <v>0</v>
      </c>
      <c r="R32" s="361">
        <f t="shared" si="6"/>
        <v>-1E-4</v>
      </c>
      <c r="Z32" s="95">
        <f>X31/W31</f>
        <v>8.4000000000000005E-2</v>
      </c>
    </row>
    <row r="33" spans="1:18" x14ac:dyDescent="0.25">
      <c r="A33" s="423" t="str">
        <f>IFERROR(VLOOKUP(D33,'JONS-ADPLANNING'!$G$3:$K$44,2),"")</f>
        <v/>
      </c>
      <c r="B33" s="423" t="str">
        <f>IFERROR(VLOOKUP($D33,HELPER!$A$1:$B$42,2,FALSE),"")</f>
        <v/>
      </c>
      <c r="C33" s="89"/>
      <c r="D33" s="89"/>
      <c r="E33" s="89"/>
      <c r="F33" s="92"/>
      <c r="G33" s="93"/>
      <c r="H33" s="92"/>
      <c r="I33" s="92"/>
      <c r="J33" s="93"/>
      <c r="K33" s="358"/>
      <c r="L33" s="358"/>
      <c r="M33" s="359"/>
      <c r="N33" s="361" t="str">
        <f t="shared" si="2"/>
        <v/>
      </c>
      <c r="O33" s="362" t="str">
        <f t="shared" si="3"/>
        <v/>
      </c>
      <c r="P33" s="361">
        <f t="shared" si="4"/>
        <v>0</v>
      </c>
      <c r="Q33" s="361">
        <f t="shared" si="5"/>
        <v>0</v>
      </c>
      <c r="R33" s="361">
        <f t="shared" si="6"/>
        <v>-1E-4</v>
      </c>
    </row>
    <row r="34" spans="1:18" x14ac:dyDescent="0.25">
      <c r="A34" s="423" t="str">
        <f>IFERROR(VLOOKUP(D34,'JONS-ADPLANNING'!$G$3:$K$44,2),"")</f>
        <v/>
      </c>
      <c r="B34" s="423" t="str">
        <f>IFERROR(VLOOKUP($D34,HELPER!$A$1:$B$42,2,FALSE),"")</f>
        <v/>
      </c>
      <c r="C34" s="89"/>
      <c r="D34" s="89"/>
      <c r="E34" s="89"/>
      <c r="F34" s="92"/>
      <c r="G34" s="93"/>
      <c r="H34" s="92"/>
      <c r="I34" s="92"/>
      <c r="J34" s="93"/>
      <c r="K34" s="358"/>
      <c r="L34" s="358"/>
      <c r="M34" s="359"/>
      <c r="N34" s="361" t="str">
        <f t="shared" si="2"/>
        <v/>
      </c>
      <c r="O34" s="362" t="str">
        <f t="shared" si="3"/>
        <v/>
      </c>
      <c r="P34" s="361">
        <f t="shared" ref="P34:P65" si="8">IFERROR(M34*150%,0)</f>
        <v>0</v>
      </c>
      <c r="Q34" s="361">
        <f t="shared" ref="Q34:Q65" si="9">IFERROR(P34/2,0)</f>
        <v>0</v>
      </c>
      <c r="R34" s="361">
        <f t="shared" ref="R34:R65" si="10">IFERROR(Q34-0.01%,0)</f>
        <v>-1E-4</v>
      </c>
    </row>
    <row r="35" spans="1:18" x14ac:dyDescent="0.25">
      <c r="A35" s="423" t="str">
        <f>IFERROR(VLOOKUP(D35,'JONS-ADPLANNING'!$G$3:$K$44,2),"")</f>
        <v/>
      </c>
      <c r="B35" s="423" t="str">
        <f>IFERROR(VLOOKUP($D35,HELPER!$A$1:$B$42,2,FALSE),"")</f>
        <v/>
      </c>
      <c r="C35" s="89"/>
      <c r="D35" s="89"/>
      <c r="E35" s="89"/>
      <c r="F35" s="92"/>
      <c r="G35" s="93"/>
      <c r="H35" s="92"/>
      <c r="I35" s="92"/>
      <c r="J35" s="93"/>
      <c r="K35" s="358"/>
      <c r="L35" s="358"/>
      <c r="M35" s="359"/>
      <c r="N35" s="361" t="str">
        <f t="shared" si="2"/>
        <v/>
      </c>
      <c r="O35" s="362" t="str">
        <f t="shared" si="3"/>
        <v/>
      </c>
      <c r="P35" s="361">
        <f t="shared" si="8"/>
        <v>0</v>
      </c>
      <c r="Q35" s="361">
        <f t="shared" si="9"/>
        <v>0</v>
      </c>
      <c r="R35" s="361">
        <f t="shared" si="10"/>
        <v>-1E-4</v>
      </c>
    </row>
    <row r="36" spans="1:18" x14ac:dyDescent="0.25">
      <c r="A36" s="423" t="str">
        <f>IFERROR(VLOOKUP(D36,'JONS-ADPLANNING'!$G$3:$K$44,2),"")</f>
        <v/>
      </c>
      <c r="B36" s="423" t="str">
        <f>IFERROR(VLOOKUP($D36,HELPER!$A$1:$B$42,2,FALSE),"")</f>
        <v/>
      </c>
      <c r="C36" s="89"/>
      <c r="D36" s="89"/>
      <c r="E36" s="89"/>
      <c r="F36" s="92"/>
      <c r="G36" s="93"/>
      <c r="H36" s="92"/>
      <c r="I36" s="92"/>
      <c r="J36" s="93"/>
      <c r="K36" s="358"/>
      <c r="L36" s="358"/>
      <c r="M36" s="359"/>
      <c r="N36" s="361" t="str">
        <f t="shared" si="2"/>
        <v/>
      </c>
      <c r="O36" s="362" t="str">
        <f t="shared" si="3"/>
        <v/>
      </c>
      <c r="P36" s="361">
        <f t="shared" si="8"/>
        <v>0</v>
      </c>
      <c r="Q36" s="361">
        <f t="shared" si="9"/>
        <v>0</v>
      </c>
      <c r="R36" s="361">
        <f t="shared" si="10"/>
        <v>-1E-4</v>
      </c>
    </row>
    <row r="37" spans="1:18" x14ac:dyDescent="0.25">
      <c r="A37" s="423" t="str">
        <f>IFERROR(VLOOKUP(D37,'JONS-ADPLANNING'!$G$3:$K$44,2),"")</f>
        <v/>
      </c>
      <c r="B37" s="423" t="str">
        <f>IFERROR(VLOOKUP($D37,HELPER!$A$1:$B$42,2,FALSE),"")</f>
        <v/>
      </c>
      <c r="C37" s="89"/>
      <c r="D37" s="89"/>
      <c r="E37" s="89"/>
      <c r="F37" s="92"/>
      <c r="G37" s="93"/>
      <c r="H37" s="92"/>
      <c r="I37" s="92"/>
      <c r="J37" s="93"/>
      <c r="K37" s="358"/>
      <c r="L37" s="358"/>
      <c r="M37" s="359"/>
      <c r="N37" s="361" t="str">
        <f t="shared" si="2"/>
        <v/>
      </c>
      <c r="O37" s="362" t="str">
        <f t="shared" si="3"/>
        <v/>
      </c>
      <c r="P37" s="361">
        <f t="shared" si="8"/>
        <v>0</v>
      </c>
      <c r="Q37" s="361">
        <f t="shared" si="9"/>
        <v>0</v>
      </c>
      <c r="R37" s="361">
        <f t="shared" si="10"/>
        <v>-1E-4</v>
      </c>
    </row>
    <row r="38" spans="1:18" x14ac:dyDescent="0.25">
      <c r="A38" s="423" t="str">
        <f>IFERROR(VLOOKUP(D38,'JONS-ADPLANNING'!$G$3:$K$44,2),"")</f>
        <v/>
      </c>
      <c r="B38" s="423" t="str">
        <f>IFERROR(VLOOKUP($D38,HELPER!$A$1:$B$42,2,FALSE),"")</f>
        <v/>
      </c>
      <c r="C38" s="89"/>
      <c r="D38" s="89"/>
      <c r="E38" s="89"/>
      <c r="F38" s="92"/>
      <c r="G38" s="93"/>
      <c r="H38" s="92"/>
      <c r="I38" s="92"/>
      <c r="J38" s="93"/>
      <c r="K38" s="358"/>
      <c r="L38" s="358"/>
      <c r="M38" s="359"/>
      <c r="N38" s="361" t="str">
        <f t="shared" si="2"/>
        <v/>
      </c>
      <c r="O38" s="362" t="str">
        <f t="shared" si="3"/>
        <v/>
      </c>
      <c r="P38" s="361">
        <f t="shared" si="8"/>
        <v>0</v>
      </c>
      <c r="Q38" s="361">
        <f t="shared" si="9"/>
        <v>0</v>
      </c>
      <c r="R38" s="361">
        <f t="shared" si="10"/>
        <v>-1E-4</v>
      </c>
    </row>
    <row r="39" spans="1:18" x14ac:dyDescent="0.25">
      <c r="A39" s="423" t="str">
        <f>IFERROR(VLOOKUP(D39,'JONS-ADPLANNING'!$G$3:$K$44,2),"")</f>
        <v/>
      </c>
      <c r="B39" s="423" t="str">
        <f>IFERROR(VLOOKUP($D39,HELPER!$A$1:$B$42,2,FALSE),"")</f>
        <v/>
      </c>
      <c r="C39" s="89"/>
      <c r="D39" s="89"/>
      <c r="E39" s="89"/>
      <c r="F39" s="92"/>
      <c r="G39" s="93"/>
      <c r="H39" s="92"/>
      <c r="I39" s="92"/>
      <c r="J39" s="93"/>
      <c r="K39" s="358"/>
      <c r="L39" s="358"/>
      <c r="M39" s="359"/>
      <c r="N39" s="361" t="str">
        <f t="shared" si="2"/>
        <v/>
      </c>
      <c r="O39" s="362" t="str">
        <f t="shared" si="3"/>
        <v/>
      </c>
      <c r="P39" s="361">
        <f t="shared" si="8"/>
        <v>0</v>
      </c>
      <c r="Q39" s="361">
        <f t="shared" si="9"/>
        <v>0</v>
      </c>
      <c r="R39" s="361">
        <f t="shared" si="10"/>
        <v>-1E-4</v>
      </c>
    </row>
    <row r="40" spans="1:18" x14ac:dyDescent="0.25">
      <c r="A40" s="423" t="str">
        <f>IFERROR(VLOOKUP(D40,'JONS-ADPLANNING'!$G$3:$K$44,2),"")</f>
        <v/>
      </c>
      <c r="B40" s="423" t="str">
        <f>IFERROR(VLOOKUP($D40,HELPER!$A$1:$B$42,2,FALSE),"")</f>
        <v/>
      </c>
      <c r="C40" s="89"/>
      <c r="D40" s="89"/>
      <c r="E40" s="89"/>
      <c r="F40" s="92"/>
      <c r="G40" s="93"/>
      <c r="H40" s="92"/>
      <c r="I40" s="92"/>
      <c r="J40" s="93"/>
      <c r="K40" s="358"/>
      <c r="L40" s="358"/>
      <c r="M40" s="359"/>
      <c r="N40" s="361" t="str">
        <f t="shared" si="2"/>
        <v/>
      </c>
      <c r="O40" s="362" t="str">
        <f t="shared" si="3"/>
        <v/>
      </c>
      <c r="P40" s="361">
        <f t="shared" si="8"/>
        <v>0</v>
      </c>
      <c r="Q40" s="361">
        <f t="shared" si="9"/>
        <v>0</v>
      </c>
      <c r="R40" s="361">
        <f t="shared" si="10"/>
        <v>-1E-4</v>
      </c>
    </row>
    <row r="41" spans="1:18" x14ac:dyDescent="0.25">
      <c r="A41" s="423" t="str">
        <f>IFERROR(VLOOKUP(D41,'JONS-ADPLANNING'!$G$3:$K$44,2),"")</f>
        <v/>
      </c>
      <c r="B41" s="423" t="str">
        <f>IFERROR(VLOOKUP($D41,HELPER!$A$1:$B$42,2,FALSE),"")</f>
        <v/>
      </c>
      <c r="C41" s="89"/>
      <c r="D41" s="89"/>
      <c r="E41" s="89"/>
      <c r="F41" s="92"/>
      <c r="G41" s="93"/>
      <c r="H41" s="92"/>
      <c r="I41" s="92"/>
      <c r="J41" s="93"/>
      <c r="K41" s="358"/>
      <c r="L41" s="358"/>
      <c r="M41" s="359"/>
      <c r="N41" s="361" t="str">
        <f t="shared" si="2"/>
        <v/>
      </c>
      <c r="O41" s="362" t="str">
        <f t="shared" si="3"/>
        <v/>
      </c>
      <c r="P41" s="361">
        <f t="shared" si="8"/>
        <v>0</v>
      </c>
      <c r="Q41" s="361">
        <f t="shared" si="9"/>
        <v>0</v>
      </c>
      <c r="R41" s="361">
        <f t="shared" si="10"/>
        <v>-1E-4</v>
      </c>
    </row>
    <row r="42" spans="1:18" x14ac:dyDescent="0.25">
      <c r="A42" s="423" t="str">
        <f>IFERROR(VLOOKUP(D42,'JONS-ADPLANNING'!$G$3:$K$44,2),"")</f>
        <v/>
      </c>
      <c r="B42" s="423" t="str">
        <f>IFERROR(VLOOKUP($D42,HELPER!$A$1:$B$42,2,FALSE),"")</f>
        <v/>
      </c>
      <c r="C42" s="89"/>
      <c r="D42" s="89"/>
      <c r="E42" s="89"/>
      <c r="F42" s="92"/>
      <c r="G42" s="93"/>
      <c r="H42" s="92"/>
      <c r="I42" s="92"/>
      <c r="J42" s="93"/>
      <c r="K42" s="358"/>
      <c r="L42" s="358"/>
      <c r="M42" s="359"/>
      <c r="N42" s="361" t="str">
        <f t="shared" si="2"/>
        <v/>
      </c>
      <c r="O42" s="362" t="str">
        <f t="shared" si="3"/>
        <v/>
      </c>
      <c r="P42" s="361">
        <f t="shared" si="8"/>
        <v>0</v>
      </c>
      <c r="Q42" s="361">
        <f t="shared" si="9"/>
        <v>0</v>
      </c>
      <c r="R42" s="361">
        <f t="shared" si="10"/>
        <v>-1E-4</v>
      </c>
    </row>
    <row r="43" spans="1:18" x14ac:dyDescent="0.25">
      <c r="A43" s="423" t="str">
        <f>IFERROR(VLOOKUP(D43,'JONS-ADPLANNING'!$G$3:$K$44,2),"")</f>
        <v/>
      </c>
      <c r="B43" s="423" t="str">
        <f>IFERROR(VLOOKUP($D43,HELPER!$A$1:$B$42,2,FALSE),"")</f>
        <v/>
      </c>
      <c r="C43" s="89"/>
      <c r="D43" s="89"/>
      <c r="E43" s="89"/>
      <c r="F43" s="92"/>
      <c r="G43" s="93"/>
      <c r="H43" s="92"/>
      <c r="I43" s="92"/>
      <c r="J43" s="93"/>
      <c r="K43" s="358"/>
      <c r="L43" s="358"/>
      <c r="M43" s="359"/>
      <c r="N43" s="361" t="str">
        <f t="shared" si="2"/>
        <v/>
      </c>
      <c r="O43" s="362" t="str">
        <f t="shared" si="3"/>
        <v/>
      </c>
      <c r="P43" s="361">
        <f t="shared" si="8"/>
        <v>0</v>
      </c>
      <c r="Q43" s="361">
        <f t="shared" si="9"/>
        <v>0</v>
      </c>
      <c r="R43" s="361">
        <f t="shared" si="10"/>
        <v>-1E-4</v>
      </c>
    </row>
    <row r="44" spans="1:18" x14ac:dyDescent="0.25">
      <c r="A44" s="423" t="str">
        <f>IFERROR(VLOOKUP(D44,'JONS-ADPLANNING'!$G$3:$K$44,2),"")</f>
        <v/>
      </c>
      <c r="B44" s="423" t="str">
        <f>IFERROR(VLOOKUP($D44,HELPER!$A$1:$B$42,2,FALSE),"")</f>
        <v/>
      </c>
      <c r="C44" s="89"/>
      <c r="D44" s="89"/>
      <c r="E44" s="89"/>
      <c r="F44" s="92"/>
      <c r="G44" s="93"/>
      <c r="H44" s="92"/>
      <c r="I44" s="92"/>
      <c r="J44" s="93"/>
      <c r="K44" s="358"/>
      <c r="L44" s="358"/>
      <c r="M44" s="359"/>
      <c r="N44" s="361" t="str">
        <f t="shared" si="2"/>
        <v/>
      </c>
      <c r="O44" s="362" t="str">
        <f t="shared" si="3"/>
        <v/>
      </c>
      <c r="P44" s="361">
        <f t="shared" si="8"/>
        <v>0</v>
      </c>
      <c r="Q44" s="361">
        <f t="shared" si="9"/>
        <v>0</v>
      </c>
      <c r="R44" s="361">
        <f t="shared" si="10"/>
        <v>-1E-4</v>
      </c>
    </row>
    <row r="45" spans="1:18" x14ac:dyDescent="0.25">
      <c r="A45" s="423" t="str">
        <f>IFERROR(VLOOKUP(D45,'JONS-ADPLANNING'!$G$3:$K$44,2),"")</f>
        <v/>
      </c>
      <c r="B45" s="423" t="str">
        <f>IFERROR(VLOOKUP($D45,HELPER!$A$1:$B$42,2,FALSE),"")</f>
        <v/>
      </c>
      <c r="C45" s="89"/>
      <c r="D45" s="89"/>
      <c r="E45" s="89"/>
      <c r="F45" s="92"/>
      <c r="G45" s="93"/>
      <c r="H45" s="92"/>
      <c r="I45" s="92"/>
      <c r="J45" s="93"/>
      <c r="K45" s="358"/>
      <c r="L45" s="358"/>
      <c r="M45" s="359"/>
      <c r="N45" s="361" t="str">
        <f t="shared" si="2"/>
        <v/>
      </c>
      <c r="O45" s="362" t="str">
        <f t="shared" si="3"/>
        <v/>
      </c>
      <c r="P45" s="361">
        <f t="shared" si="8"/>
        <v>0</v>
      </c>
      <c r="Q45" s="361">
        <f t="shared" si="9"/>
        <v>0</v>
      </c>
      <c r="R45" s="361">
        <f t="shared" si="10"/>
        <v>-1E-4</v>
      </c>
    </row>
    <row r="46" spans="1:18" x14ac:dyDescent="0.25">
      <c r="A46" s="423" t="str">
        <f>IFERROR(VLOOKUP(D46,'JONS-ADPLANNING'!$G$3:$K$44,2),"")</f>
        <v/>
      </c>
      <c r="B46" s="423" t="str">
        <f>IFERROR(VLOOKUP($D46,HELPER!$A$1:$B$42,2,FALSE),"")</f>
        <v/>
      </c>
      <c r="C46" s="89"/>
      <c r="D46" s="89"/>
      <c r="E46" s="89"/>
      <c r="F46" s="92"/>
      <c r="G46" s="93"/>
      <c r="H46" s="92"/>
      <c r="I46" s="92"/>
      <c r="J46" s="93"/>
      <c r="K46" s="358"/>
      <c r="L46" s="358"/>
      <c r="M46" s="359"/>
      <c r="N46" s="361" t="str">
        <f t="shared" si="2"/>
        <v/>
      </c>
      <c r="O46" s="362" t="str">
        <f t="shared" si="3"/>
        <v/>
      </c>
      <c r="P46" s="361">
        <f t="shared" si="8"/>
        <v>0</v>
      </c>
      <c r="Q46" s="361">
        <f t="shared" si="9"/>
        <v>0</v>
      </c>
      <c r="R46" s="361">
        <f t="shared" si="10"/>
        <v>-1E-4</v>
      </c>
    </row>
    <row r="47" spans="1:18" x14ac:dyDescent="0.25">
      <c r="A47" s="423" t="str">
        <f>IFERROR(VLOOKUP(D47,'JONS-ADPLANNING'!$G$3:$K$44,2),"")</f>
        <v/>
      </c>
      <c r="B47" s="423" t="str">
        <f>IFERROR(VLOOKUP($D47,HELPER!$A$1:$B$42,2,FALSE),"")</f>
        <v/>
      </c>
      <c r="C47" s="89"/>
      <c r="D47" s="89"/>
      <c r="E47" s="89"/>
      <c r="F47" s="92"/>
      <c r="G47" s="93"/>
      <c r="H47" s="92"/>
      <c r="I47" s="92"/>
      <c r="J47" s="93"/>
      <c r="K47" s="358"/>
      <c r="L47" s="358"/>
      <c r="M47" s="359"/>
      <c r="N47" s="361" t="str">
        <f t="shared" si="2"/>
        <v/>
      </c>
      <c r="O47" s="362" t="str">
        <f t="shared" si="3"/>
        <v/>
      </c>
      <c r="P47" s="361">
        <f t="shared" si="8"/>
        <v>0</v>
      </c>
      <c r="Q47" s="361">
        <f t="shared" si="9"/>
        <v>0</v>
      </c>
      <c r="R47" s="361">
        <f t="shared" si="10"/>
        <v>-1E-4</v>
      </c>
    </row>
    <row r="48" spans="1:18" x14ac:dyDescent="0.25">
      <c r="A48" s="423" t="str">
        <f>IFERROR(VLOOKUP(D48,'JONS-ADPLANNING'!$G$3:$K$44,2),"")</f>
        <v/>
      </c>
      <c r="B48" s="423" t="str">
        <f>IFERROR(VLOOKUP($D48,HELPER!$A$1:$B$42,2,FALSE),"")</f>
        <v/>
      </c>
      <c r="C48" s="89"/>
      <c r="D48" s="89"/>
      <c r="E48" s="89"/>
      <c r="F48" s="92"/>
      <c r="G48" s="93"/>
      <c r="H48" s="92"/>
      <c r="I48" s="92"/>
      <c r="J48" s="93"/>
      <c r="K48" s="358"/>
      <c r="L48" s="358"/>
      <c r="M48" s="359"/>
      <c r="N48" s="361" t="str">
        <f t="shared" si="2"/>
        <v/>
      </c>
      <c r="O48" s="362" t="str">
        <f t="shared" si="3"/>
        <v/>
      </c>
      <c r="P48" s="361">
        <f t="shared" si="8"/>
        <v>0</v>
      </c>
      <c r="Q48" s="361">
        <f t="shared" si="9"/>
        <v>0</v>
      </c>
      <c r="R48" s="361">
        <f t="shared" si="10"/>
        <v>-1E-4</v>
      </c>
    </row>
    <row r="49" spans="1:18" x14ac:dyDescent="0.25">
      <c r="A49" s="423" t="str">
        <f>IFERROR(VLOOKUP(D49,'JONS-ADPLANNING'!$G$3:$K$44,2),"")</f>
        <v/>
      </c>
      <c r="B49" s="423" t="str">
        <f>IFERROR(VLOOKUP($D49,HELPER!$A$1:$B$42,2,FALSE),"")</f>
        <v/>
      </c>
      <c r="C49" s="89"/>
      <c r="D49" s="89"/>
      <c r="E49" s="89"/>
      <c r="F49" s="92"/>
      <c r="G49" s="93"/>
      <c r="H49" s="92"/>
      <c r="I49" s="92"/>
      <c r="J49" s="93"/>
      <c r="K49" s="358"/>
      <c r="L49" s="358"/>
      <c r="M49" s="359"/>
      <c r="N49" s="361" t="str">
        <f t="shared" si="2"/>
        <v/>
      </c>
      <c r="O49" s="362" t="str">
        <f t="shared" si="3"/>
        <v/>
      </c>
      <c r="P49" s="361">
        <f t="shared" si="8"/>
        <v>0</v>
      </c>
      <c r="Q49" s="361">
        <f t="shared" si="9"/>
        <v>0</v>
      </c>
      <c r="R49" s="361">
        <f t="shared" si="10"/>
        <v>-1E-4</v>
      </c>
    </row>
    <row r="50" spans="1:18" x14ac:dyDescent="0.25">
      <c r="A50" s="423" t="str">
        <f>IFERROR(VLOOKUP(D50,'JONS-ADPLANNING'!$G$3:$K$44,2),"")</f>
        <v/>
      </c>
      <c r="B50" s="423" t="str">
        <f>IFERROR(VLOOKUP($D50,HELPER!$A$1:$B$42,2,FALSE),"")</f>
        <v/>
      </c>
      <c r="C50" s="89"/>
      <c r="D50" s="89"/>
      <c r="E50" s="89"/>
      <c r="F50" s="92"/>
      <c r="G50" s="93"/>
      <c r="H50" s="92"/>
      <c r="I50" s="92"/>
      <c r="J50" s="93"/>
      <c r="K50" s="358"/>
      <c r="L50" s="358"/>
      <c r="M50" s="359"/>
      <c r="N50" s="361" t="str">
        <f t="shared" si="2"/>
        <v/>
      </c>
      <c r="O50" s="362" t="str">
        <f t="shared" si="3"/>
        <v/>
      </c>
      <c r="P50" s="361">
        <f t="shared" si="8"/>
        <v>0</v>
      </c>
      <c r="Q50" s="361">
        <f t="shared" si="9"/>
        <v>0</v>
      </c>
      <c r="R50" s="361">
        <f t="shared" si="10"/>
        <v>-1E-4</v>
      </c>
    </row>
    <row r="51" spans="1:18" x14ac:dyDescent="0.25">
      <c r="A51" s="423" t="str">
        <f>IFERROR(VLOOKUP(D51,'JONS-ADPLANNING'!$G$3:$K$44,2),"")</f>
        <v/>
      </c>
      <c r="B51" s="423" t="str">
        <f>IFERROR(VLOOKUP($D51,HELPER!$A$1:$B$42,2,FALSE),"")</f>
        <v/>
      </c>
      <c r="C51" s="89"/>
      <c r="D51" s="89"/>
      <c r="E51" s="89"/>
      <c r="F51" s="92"/>
      <c r="G51" s="93"/>
      <c r="H51" s="92"/>
      <c r="I51" s="92"/>
      <c r="J51" s="93"/>
      <c r="K51" s="358"/>
      <c r="L51" s="358"/>
      <c r="M51" s="359"/>
      <c r="N51" s="361" t="str">
        <f t="shared" si="2"/>
        <v/>
      </c>
      <c r="O51" s="362" t="str">
        <f t="shared" si="3"/>
        <v/>
      </c>
      <c r="P51" s="361">
        <f t="shared" si="8"/>
        <v>0</v>
      </c>
      <c r="Q51" s="361">
        <f t="shared" si="9"/>
        <v>0</v>
      </c>
      <c r="R51" s="361">
        <f t="shared" si="10"/>
        <v>-1E-4</v>
      </c>
    </row>
    <row r="52" spans="1:18" x14ac:dyDescent="0.25">
      <c r="A52" s="423" t="str">
        <f>IFERROR(VLOOKUP(D52,'JONS-ADPLANNING'!$G$3:$K$44,2),"")</f>
        <v/>
      </c>
      <c r="B52" s="423" t="str">
        <f>IFERROR(VLOOKUP($D52,HELPER!$A$1:$B$42,2,FALSE),"")</f>
        <v/>
      </c>
      <c r="C52" s="89"/>
      <c r="D52" s="89"/>
      <c r="E52" s="89"/>
      <c r="F52" s="92"/>
      <c r="G52" s="93"/>
      <c r="H52" s="92"/>
      <c r="I52" s="92"/>
      <c r="J52" s="93"/>
      <c r="K52" s="358"/>
      <c r="L52" s="358"/>
      <c r="M52" s="359"/>
      <c r="N52" s="361" t="str">
        <f t="shared" si="2"/>
        <v/>
      </c>
      <c r="O52" s="362" t="str">
        <f t="shared" si="3"/>
        <v/>
      </c>
      <c r="P52" s="361">
        <f t="shared" si="8"/>
        <v>0</v>
      </c>
      <c r="Q52" s="361">
        <f t="shared" si="9"/>
        <v>0</v>
      </c>
      <c r="R52" s="361">
        <f t="shared" si="10"/>
        <v>-1E-4</v>
      </c>
    </row>
    <row r="53" spans="1:18" x14ac:dyDescent="0.25">
      <c r="A53" s="423" t="str">
        <f>IFERROR(VLOOKUP(D53,'JONS-ADPLANNING'!$G$3:$K$44,2),"")</f>
        <v/>
      </c>
      <c r="B53" s="423" t="str">
        <f>IFERROR(VLOOKUP($D53,HELPER!$A$1:$B$42,2,FALSE),"")</f>
        <v/>
      </c>
      <c r="C53" s="89"/>
      <c r="D53" s="89"/>
      <c r="E53" s="89"/>
      <c r="F53" s="92"/>
      <c r="G53" s="93"/>
      <c r="H53" s="92"/>
      <c r="I53" s="92"/>
      <c r="J53" s="93"/>
      <c r="K53" s="358"/>
      <c r="L53" s="358"/>
      <c r="M53" s="359"/>
      <c r="N53" s="361" t="str">
        <f t="shared" si="2"/>
        <v/>
      </c>
      <c r="O53" s="362" t="str">
        <f t="shared" si="3"/>
        <v/>
      </c>
      <c r="P53" s="361">
        <f t="shared" si="8"/>
        <v>0</v>
      </c>
      <c r="Q53" s="361">
        <f t="shared" si="9"/>
        <v>0</v>
      </c>
      <c r="R53" s="361">
        <f t="shared" si="10"/>
        <v>-1E-4</v>
      </c>
    </row>
    <row r="54" spans="1:18" x14ac:dyDescent="0.25">
      <c r="A54" s="423" t="str">
        <f>IFERROR(VLOOKUP(D54,'JONS-ADPLANNING'!$G$3:$K$44,2),"")</f>
        <v/>
      </c>
      <c r="B54" s="423" t="str">
        <f>IFERROR(VLOOKUP($D54,HELPER!$A$1:$B$42,2,FALSE),"")</f>
        <v/>
      </c>
      <c r="C54" s="89"/>
      <c r="D54" s="89"/>
      <c r="E54" s="89"/>
      <c r="F54" s="92"/>
      <c r="G54" s="93"/>
      <c r="H54" s="92"/>
      <c r="I54" s="92"/>
      <c r="J54" s="93"/>
      <c r="K54" s="358"/>
      <c r="L54" s="358"/>
      <c r="M54" s="359"/>
      <c r="N54" s="361" t="str">
        <f t="shared" si="2"/>
        <v/>
      </c>
      <c r="O54" s="362" t="str">
        <f t="shared" si="3"/>
        <v/>
      </c>
      <c r="P54" s="361">
        <f t="shared" si="8"/>
        <v>0</v>
      </c>
      <c r="Q54" s="361">
        <f t="shared" si="9"/>
        <v>0</v>
      </c>
      <c r="R54" s="361">
        <f t="shared" si="10"/>
        <v>-1E-4</v>
      </c>
    </row>
    <row r="55" spans="1:18" x14ac:dyDescent="0.25">
      <c r="A55" s="423" t="str">
        <f>IFERROR(VLOOKUP(D55,'JONS-ADPLANNING'!$G$3:$K$44,2),"")</f>
        <v/>
      </c>
      <c r="B55" s="423" t="str">
        <f>IFERROR(VLOOKUP($D55,HELPER!$A$1:$B$42,2,FALSE),"")</f>
        <v/>
      </c>
      <c r="C55" s="89"/>
      <c r="D55" s="89"/>
      <c r="E55" s="89"/>
      <c r="F55" s="92"/>
      <c r="G55" s="93"/>
      <c r="H55" s="92"/>
      <c r="I55" s="92"/>
      <c r="J55" s="93"/>
      <c r="K55" s="358"/>
      <c r="L55" s="358"/>
      <c r="M55" s="359"/>
      <c r="N55" s="361" t="str">
        <f t="shared" si="2"/>
        <v/>
      </c>
      <c r="O55" s="362" t="str">
        <f t="shared" si="3"/>
        <v/>
      </c>
      <c r="P55" s="361">
        <f t="shared" si="8"/>
        <v>0</v>
      </c>
      <c r="Q55" s="361">
        <f t="shared" si="9"/>
        <v>0</v>
      </c>
      <c r="R55" s="361">
        <f t="shared" si="10"/>
        <v>-1E-4</v>
      </c>
    </row>
    <row r="56" spans="1:18" x14ac:dyDescent="0.25">
      <c r="A56" s="423" t="str">
        <f>IFERROR(VLOOKUP(D56,'JONS-ADPLANNING'!$G$3:$K$44,2),"")</f>
        <v/>
      </c>
      <c r="B56" s="423" t="str">
        <f>IFERROR(VLOOKUP($D56,HELPER!$A$1:$B$42,2,FALSE),"")</f>
        <v/>
      </c>
      <c r="C56" s="89"/>
      <c r="D56" s="89"/>
      <c r="E56" s="89"/>
      <c r="F56" s="92"/>
      <c r="G56" s="93"/>
      <c r="H56" s="92"/>
      <c r="I56" s="92"/>
      <c r="J56" s="93"/>
      <c r="K56" s="358"/>
      <c r="L56" s="358"/>
      <c r="M56" s="359"/>
      <c r="N56" s="361" t="str">
        <f t="shared" si="2"/>
        <v/>
      </c>
      <c r="O56" s="362" t="str">
        <f t="shared" si="3"/>
        <v/>
      </c>
      <c r="P56" s="361">
        <f t="shared" si="8"/>
        <v>0</v>
      </c>
      <c r="Q56" s="361">
        <f t="shared" si="9"/>
        <v>0</v>
      </c>
      <c r="R56" s="361">
        <f t="shared" si="10"/>
        <v>-1E-4</v>
      </c>
    </row>
    <row r="57" spans="1:18" x14ac:dyDescent="0.25">
      <c r="A57" s="423" t="str">
        <f>IFERROR(VLOOKUP(D57,'JONS-ADPLANNING'!$G$3:$K$44,2),"")</f>
        <v/>
      </c>
      <c r="B57" s="423" t="str">
        <f>IFERROR(VLOOKUP($D57,HELPER!$A$1:$B$42,2,FALSE),"")</f>
        <v/>
      </c>
      <c r="C57" s="89"/>
      <c r="D57" s="89"/>
      <c r="E57" s="89"/>
      <c r="F57" s="92"/>
      <c r="G57" s="93"/>
      <c r="H57" s="92"/>
      <c r="I57" s="92"/>
      <c r="J57" s="93"/>
      <c r="K57" s="358"/>
      <c r="L57" s="358"/>
      <c r="M57" s="359"/>
      <c r="N57" s="361" t="str">
        <f t="shared" si="2"/>
        <v/>
      </c>
      <c r="O57" s="362" t="str">
        <f t="shared" si="3"/>
        <v/>
      </c>
      <c r="P57" s="361">
        <f t="shared" si="8"/>
        <v>0</v>
      </c>
      <c r="Q57" s="361">
        <f t="shared" si="9"/>
        <v>0</v>
      </c>
      <c r="R57" s="361">
        <f t="shared" si="10"/>
        <v>-1E-4</v>
      </c>
    </row>
    <row r="58" spans="1:18" x14ac:dyDescent="0.25">
      <c r="A58" s="423" t="str">
        <f>IFERROR(VLOOKUP(D58,'JONS-ADPLANNING'!$G$3:$K$44,2),"")</f>
        <v/>
      </c>
      <c r="B58" s="423" t="str">
        <f>IFERROR(VLOOKUP($D58,HELPER!$A$1:$B$42,2,FALSE),"")</f>
        <v/>
      </c>
      <c r="C58" s="89"/>
      <c r="D58" s="89"/>
      <c r="E58" s="89"/>
      <c r="F58" s="92"/>
      <c r="G58" s="93"/>
      <c r="H58" s="92"/>
      <c r="I58" s="92"/>
      <c r="J58" s="93"/>
      <c r="K58" s="358"/>
      <c r="L58" s="358"/>
      <c r="M58" s="359"/>
      <c r="N58" s="361" t="str">
        <f t="shared" si="2"/>
        <v/>
      </c>
      <c r="O58" s="362" t="str">
        <f t="shared" si="3"/>
        <v/>
      </c>
      <c r="P58" s="361">
        <f t="shared" si="8"/>
        <v>0</v>
      </c>
      <c r="Q58" s="361">
        <f t="shared" si="9"/>
        <v>0</v>
      </c>
      <c r="R58" s="361">
        <f t="shared" si="10"/>
        <v>-1E-4</v>
      </c>
    </row>
    <row r="59" spans="1:18" x14ac:dyDescent="0.25">
      <c r="A59" s="423" t="str">
        <f>IFERROR(VLOOKUP(D59,'JONS-ADPLANNING'!$G$3:$K$44,2),"")</f>
        <v/>
      </c>
      <c r="B59" s="423" t="str">
        <f>IFERROR(VLOOKUP($D59,HELPER!$A$1:$B$42,2,FALSE),"")</f>
        <v/>
      </c>
      <c r="C59" s="89"/>
      <c r="D59" s="89"/>
      <c r="E59" s="89"/>
      <c r="F59" s="92"/>
      <c r="G59" s="93"/>
      <c r="H59" s="92"/>
      <c r="I59" s="92"/>
      <c r="J59" s="93"/>
      <c r="K59" s="358"/>
      <c r="L59" s="358"/>
      <c r="M59" s="359"/>
      <c r="N59" s="361" t="str">
        <f t="shared" si="2"/>
        <v/>
      </c>
      <c r="O59" s="362" t="str">
        <f t="shared" si="3"/>
        <v/>
      </c>
      <c r="P59" s="361">
        <f t="shared" si="8"/>
        <v>0</v>
      </c>
      <c r="Q59" s="361">
        <f t="shared" si="9"/>
        <v>0</v>
      </c>
      <c r="R59" s="361">
        <f t="shared" si="10"/>
        <v>-1E-4</v>
      </c>
    </row>
    <row r="60" spans="1:18" x14ac:dyDescent="0.25">
      <c r="A60" s="423" t="str">
        <f>IFERROR(VLOOKUP(D60,'JONS-ADPLANNING'!$G$3:$K$44,2),"")</f>
        <v/>
      </c>
      <c r="B60" s="423" t="str">
        <f>IFERROR(VLOOKUP($D60,HELPER!$A$1:$B$42,2,FALSE),"")</f>
        <v/>
      </c>
      <c r="C60" s="89"/>
      <c r="D60" s="89"/>
      <c r="E60" s="89"/>
      <c r="F60" s="92"/>
      <c r="G60" s="93"/>
      <c r="H60" s="92"/>
      <c r="I60" s="92"/>
      <c r="J60" s="93"/>
      <c r="K60" s="358"/>
      <c r="L60" s="358"/>
      <c r="M60" s="359"/>
      <c r="N60" s="361" t="str">
        <f t="shared" si="2"/>
        <v/>
      </c>
      <c r="O60" s="362" t="str">
        <f t="shared" si="3"/>
        <v/>
      </c>
      <c r="P60" s="361">
        <f t="shared" si="8"/>
        <v>0</v>
      </c>
      <c r="Q60" s="361">
        <f t="shared" si="9"/>
        <v>0</v>
      </c>
      <c r="R60" s="361">
        <f t="shared" si="10"/>
        <v>-1E-4</v>
      </c>
    </row>
    <row r="61" spans="1:18" x14ac:dyDescent="0.25">
      <c r="A61" s="423" t="str">
        <f>IFERROR(VLOOKUP(D61,'JONS-ADPLANNING'!$G$3:$K$44,2),"")</f>
        <v/>
      </c>
      <c r="B61" s="423" t="str">
        <f>IFERROR(VLOOKUP($D61,HELPER!$A$1:$B$42,2,FALSE),"")</f>
        <v/>
      </c>
      <c r="C61" s="89"/>
      <c r="D61" s="89"/>
      <c r="E61" s="89"/>
      <c r="F61" s="92"/>
      <c r="G61" s="93"/>
      <c r="H61" s="92"/>
      <c r="I61" s="92"/>
      <c r="J61" s="93"/>
      <c r="K61" s="358"/>
      <c r="L61" s="358"/>
      <c r="M61" s="359"/>
      <c r="N61" s="361" t="str">
        <f t="shared" si="2"/>
        <v/>
      </c>
      <c r="O61" s="362" t="str">
        <f t="shared" si="3"/>
        <v/>
      </c>
      <c r="P61" s="361">
        <f t="shared" si="8"/>
        <v>0</v>
      </c>
      <c r="Q61" s="361">
        <f t="shared" si="9"/>
        <v>0</v>
      </c>
      <c r="R61" s="361">
        <f t="shared" si="10"/>
        <v>-1E-4</v>
      </c>
    </row>
    <row r="62" spans="1:18" x14ac:dyDescent="0.25">
      <c r="A62" s="423" t="str">
        <f>IFERROR(VLOOKUP(D62,'JONS-ADPLANNING'!$G$3:$K$44,2),"")</f>
        <v/>
      </c>
      <c r="B62" s="423" t="str">
        <f>IFERROR(VLOOKUP($D62,HELPER!$A$1:$B$42,2,FALSE),"")</f>
        <v/>
      </c>
      <c r="C62" s="89"/>
      <c r="D62" s="89"/>
      <c r="E62" s="89"/>
      <c r="F62" s="92"/>
      <c r="G62" s="93"/>
      <c r="H62" s="92"/>
      <c r="I62" s="92"/>
      <c r="J62" s="93"/>
      <c r="K62" s="358"/>
      <c r="L62" s="358"/>
      <c r="M62" s="359"/>
      <c r="N62" s="361" t="str">
        <f t="shared" si="2"/>
        <v/>
      </c>
      <c r="O62" s="362" t="str">
        <f t="shared" si="3"/>
        <v/>
      </c>
      <c r="P62" s="361">
        <f t="shared" si="8"/>
        <v>0</v>
      </c>
      <c r="Q62" s="361">
        <f t="shared" si="9"/>
        <v>0</v>
      </c>
      <c r="R62" s="361">
        <f t="shared" si="10"/>
        <v>-1E-4</v>
      </c>
    </row>
    <row r="63" spans="1:18" x14ac:dyDescent="0.25">
      <c r="A63" s="423" t="str">
        <f>IFERROR(VLOOKUP(D63,'JONS-ADPLANNING'!$G$3:$K$44,2),"")</f>
        <v/>
      </c>
      <c r="B63" s="423" t="str">
        <f>IFERROR(VLOOKUP($D63,HELPER!$A$1:$B$42,2,FALSE),"")</f>
        <v/>
      </c>
      <c r="C63" s="89"/>
      <c r="D63" s="89"/>
      <c r="E63" s="89"/>
      <c r="F63" s="92"/>
      <c r="G63" s="93"/>
      <c r="H63" s="92"/>
      <c r="I63" s="92"/>
      <c r="J63" s="93"/>
      <c r="K63" s="358"/>
      <c r="L63" s="358"/>
      <c r="M63" s="359"/>
      <c r="N63" s="361" t="str">
        <f t="shared" si="2"/>
        <v/>
      </c>
      <c r="O63" s="362" t="str">
        <f t="shared" si="3"/>
        <v/>
      </c>
      <c r="P63" s="361">
        <f t="shared" si="8"/>
        <v>0</v>
      </c>
      <c r="Q63" s="361">
        <f t="shared" si="9"/>
        <v>0</v>
      </c>
      <c r="R63" s="361">
        <f t="shared" si="10"/>
        <v>-1E-4</v>
      </c>
    </row>
    <row r="64" spans="1:18" x14ac:dyDescent="0.25">
      <c r="A64" s="423" t="str">
        <f>IFERROR(VLOOKUP(D64,'JONS-ADPLANNING'!$G$3:$K$44,2),"")</f>
        <v/>
      </c>
      <c r="B64" s="423" t="str">
        <f>IFERROR(VLOOKUP($D64,HELPER!$A$1:$B$42,2,FALSE),"")</f>
        <v/>
      </c>
      <c r="C64" s="89"/>
      <c r="D64" s="89"/>
      <c r="E64" s="89"/>
      <c r="F64" s="92"/>
      <c r="G64" s="93"/>
      <c r="H64" s="92"/>
      <c r="I64" s="92"/>
      <c r="J64" s="93"/>
      <c r="K64" s="358"/>
      <c r="L64" s="358"/>
      <c r="M64" s="359"/>
      <c r="N64" s="361" t="str">
        <f t="shared" si="2"/>
        <v/>
      </c>
      <c r="O64" s="362" t="str">
        <f t="shared" si="3"/>
        <v/>
      </c>
      <c r="P64" s="361">
        <f t="shared" si="8"/>
        <v>0</v>
      </c>
      <c r="Q64" s="361">
        <f t="shared" si="9"/>
        <v>0</v>
      </c>
      <c r="R64" s="361">
        <f t="shared" si="10"/>
        <v>-1E-4</v>
      </c>
    </row>
    <row r="65" spans="1:18" x14ac:dyDescent="0.25">
      <c r="A65" s="423" t="str">
        <f>IFERROR(VLOOKUP(D65,'JONS-ADPLANNING'!$G$3:$K$44,2),"")</f>
        <v/>
      </c>
      <c r="B65" s="423" t="str">
        <f>IFERROR(VLOOKUP($D65,HELPER!$A$1:$B$42,2,FALSE),"")</f>
        <v/>
      </c>
      <c r="C65" s="89"/>
      <c r="D65" s="89"/>
      <c r="E65" s="89"/>
      <c r="F65" s="92"/>
      <c r="G65" s="93"/>
      <c r="H65" s="92"/>
      <c r="I65" s="92"/>
      <c r="J65" s="93"/>
      <c r="K65" s="358"/>
      <c r="L65" s="358"/>
      <c r="M65" s="359"/>
      <c r="N65" s="361" t="str">
        <f t="shared" si="2"/>
        <v/>
      </c>
      <c r="O65" s="362" t="str">
        <f t="shared" si="3"/>
        <v/>
      </c>
      <c r="P65" s="361">
        <f t="shared" si="8"/>
        <v>0</v>
      </c>
      <c r="Q65" s="361">
        <f t="shared" si="9"/>
        <v>0</v>
      </c>
      <c r="R65" s="361">
        <f t="shared" si="10"/>
        <v>-1E-4</v>
      </c>
    </row>
    <row r="66" spans="1:18" x14ac:dyDescent="0.25">
      <c r="A66" s="423" t="str">
        <f>IFERROR(VLOOKUP(D66,'JONS-ADPLANNING'!$G$3:$K$44,2),"")</f>
        <v/>
      </c>
      <c r="B66" s="423" t="str">
        <f>IFERROR(VLOOKUP($D66,HELPER!$A$1:$B$42,2,FALSE),"")</f>
        <v/>
      </c>
      <c r="C66" s="89"/>
      <c r="D66" s="89"/>
      <c r="E66" s="89"/>
      <c r="F66" s="92"/>
      <c r="G66" s="93"/>
      <c r="H66" s="92"/>
      <c r="I66" s="92"/>
      <c r="J66" s="93"/>
      <c r="K66" s="358"/>
      <c r="L66" s="358"/>
      <c r="M66" s="359"/>
      <c r="N66" s="361" t="str">
        <f t="shared" si="2"/>
        <v/>
      </c>
      <c r="O66" s="362" t="str">
        <f t="shared" si="3"/>
        <v/>
      </c>
      <c r="P66" s="361">
        <f t="shared" ref="P66:P100" si="11">IFERROR(M66*150%,0)</f>
        <v>0</v>
      </c>
      <c r="Q66" s="361">
        <f t="shared" ref="Q66:Q97" si="12">IFERROR(P66/2,0)</f>
        <v>0</v>
      </c>
      <c r="R66" s="361">
        <f t="shared" ref="R66:R97" si="13">IFERROR(Q66-0.01%,0)</f>
        <v>-1E-4</v>
      </c>
    </row>
    <row r="67" spans="1:18" x14ac:dyDescent="0.25">
      <c r="A67" s="423" t="str">
        <f>IFERROR(VLOOKUP(D67,'JONS-ADPLANNING'!$G$3:$K$44,2),"")</f>
        <v/>
      </c>
      <c r="B67" s="423" t="str">
        <f>IFERROR(VLOOKUP($D67,HELPER!$A$1:$B$42,2,FALSE),"")</f>
        <v/>
      </c>
      <c r="C67" s="89"/>
      <c r="D67" s="89"/>
      <c r="E67" s="89"/>
      <c r="F67" s="92"/>
      <c r="G67" s="93"/>
      <c r="H67" s="92"/>
      <c r="I67" s="92"/>
      <c r="J67" s="93"/>
      <c r="K67" s="358"/>
      <c r="L67" s="358"/>
      <c r="M67" s="359"/>
      <c r="N67" s="361" t="str">
        <f t="shared" ref="N67:N100" si="14">IFERROR(L67/K67,"")</f>
        <v/>
      </c>
      <c r="O67" s="362" t="str">
        <f t="shared" ref="O67:O100" si="15">IF(ISBLANK(M67),"",IF(N67&gt;=P67,"GOOD",IF(N67&gt;=Q67,"OK",IF(N67&lt;=R67,"BAD"))))</f>
        <v/>
      </c>
      <c r="P67" s="361">
        <f t="shared" si="11"/>
        <v>0</v>
      </c>
      <c r="Q67" s="361">
        <f t="shared" si="12"/>
        <v>0</v>
      </c>
      <c r="R67" s="361">
        <f t="shared" si="13"/>
        <v>-1E-4</v>
      </c>
    </row>
    <row r="68" spans="1:18" x14ac:dyDescent="0.25">
      <c r="A68" s="423" t="str">
        <f>IFERROR(VLOOKUP(D68,'JONS-ADPLANNING'!$G$3:$K$44,2),"")</f>
        <v/>
      </c>
      <c r="B68" s="423" t="str">
        <f>IFERROR(VLOOKUP($D68,HELPER!$A$1:$B$42,2,FALSE),"")</f>
        <v/>
      </c>
      <c r="C68" s="89"/>
      <c r="D68" s="89"/>
      <c r="E68" s="89"/>
      <c r="F68" s="92"/>
      <c r="G68" s="93"/>
      <c r="H68" s="92"/>
      <c r="I68" s="92"/>
      <c r="J68" s="93"/>
      <c r="K68" s="358"/>
      <c r="L68" s="358"/>
      <c r="M68" s="359"/>
      <c r="N68" s="361" t="str">
        <f t="shared" si="14"/>
        <v/>
      </c>
      <c r="O68" s="362" t="str">
        <f t="shared" si="15"/>
        <v/>
      </c>
      <c r="P68" s="361">
        <f t="shared" si="11"/>
        <v>0</v>
      </c>
      <c r="Q68" s="361">
        <f t="shared" si="12"/>
        <v>0</v>
      </c>
      <c r="R68" s="361">
        <f t="shared" si="13"/>
        <v>-1E-4</v>
      </c>
    </row>
    <row r="69" spans="1:18" x14ac:dyDescent="0.25">
      <c r="A69" s="423" t="str">
        <f>IFERROR(VLOOKUP(D69,'JONS-ADPLANNING'!$G$3:$K$44,2),"")</f>
        <v/>
      </c>
      <c r="B69" s="423" t="str">
        <f>IFERROR(VLOOKUP($D69,HELPER!$A$1:$B$42,2,FALSE),"")</f>
        <v/>
      </c>
      <c r="C69" s="89"/>
      <c r="D69" s="89"/>
      <c r="E69" s="89"/>
      <c r="F69" s="92"/>
      <c r="G69" s="93"/>
      <c r="H69" s="92"/>
      <c r="I69" s="92"/>
      <c r="J69" s="93"/>
      <c r="K69" s="358"/>
      <c r="L69" s="358"/>
      <c r="M69" s="359"/>
      <c r="N69" s="361" t="str">
        <f t="shared" si="14"/>
        <v/>
      </c>
      <c r="O69" s="362" t="str">
        <f t="shared" si="15"/>
        <v/>
      </c>
      <c r="P69" s="361">
        <f t="shared" si="11"/>
        <v>0</v>
      </c>
      <c r="Q69" s="361">
        <f t="shared" si="12"/>
        <v>0</v>
      </c>
      <c r="R69" s="361">
        <f t="shared" si="13"/>
        <v>-1E-4</v>
      </c>
    </row>
    <row r="70" spans="1:18" x14ac:dyDescent="0.25">
      <c r="A70" s="423" t="str">
        <f>IFERROR(VLOOKUP(D70,'JONS-ADPLANNING'!$G$3:$K$44,2),"")</f>
        <v/>
      </c>
      <c r="B70" s="423" t="str">
        <f>IFERROR(VLOOKUP($D70,HELPER!$A$1:$B$42,2,FALSE),"")</f>
        <v/>
      </c>
      <c r="C70" s="89"/>
      <c r="D70" s="89"/>
      <c r="E70" s="89"/>
      <c r="F70" s="92"/>
      <c r="G70" s="93"/>
      <c r="H70" s="92"/>
      <c r="I70" s="92"/>
      <c r="J70" s="93"/>
      <c r="K70" s="358"/>
      <c r="L70" s="358"/>
      <c r="M70" s="359"/>
      <c r="N70" s="361" t="str">
        <f t="shared" si="14"/>
        <v/>
      </c>
      <c r="O70" s="362" t="str">
        <f t="shared" si="15"/>
        <v/>
      </c>
      <c r="P70" s="361">
        <f t="shared" si="11"/>
        <v>0</v>
      </c>
      <c r="Q70" s="361">
        <f t="shared" si="12"/>
        <v>0</v>
      </c>
      <c r="R70" s="361">
        <f t="shared" si="13"/>
        <v>-1E-4</v>
      </c>
    </row>
    <row r="71" spans="1:18" x14ac:dyDescent="0.25">
      <c r="A71" s="423" t="str">
        <f>IFERROR(VLOOKUP(D71,'JONS-ADPLANNING'!$G$3:$K$44,2),"")</f>
        <v/>
      </c>
      <c r="B71" s="423" t="str">
        <f>IFERROR(VLOOKUP($D71,HELPER!$A$1:$B$42,2,FALSE),"")</f>
        <v/>
      </c>
      <c r="C71" s="89"/>
      <c r="D71" s="89"/>
      <c r="E71" s="89"/>
      <c r="F71" s="92"/>
      <c r="G71" s="93"/>
      <c r="H71" s="92"/>
      <c r="I71" s="92"/>
      <c r="J71" s="93"/>
      <c r="K71" s="358"/>
      <c r="L71" s="358"/>
      <c r="M71" s="359"/>
      <c r="N71" s="361" t="str">
        <f t="shared" si="14"/>
        <v/>
      </c>
      <c r="O71" s="362" t="str">
        <f t="shared" si="15"/>
        <v/>
      </c>
      <c r="P71" s="361">
        <f t="shared" si="11"/>
        <v>0</v>
      </c>
      <c r="Q71" s="361">
        <f t="shared" si="12"/>
        <v>0</v>
      </c>
      <c r="R71" s="361">
        <f t="shared" si="13"/>
        <v>-1E-4</v>
      </c>
    </row>
    <row r="72" spans="1:18" x14ac:dyDescent="0.25">
      <c r="A72" s="423" t="str">
        <f>IFERROR(VLOOKUP(D72,'JONS-ADPLANNING'!$G$3:$K$44,2),"")</f>
        <v/>
      </c>
      <c r="B72" s="423" t="str">
        <f>IFERROR(VLOOKUP($D72,HELPER!$A$1:$B$42,2,FALSE),"")</f>
        <v/>
      </c>
      <c r="C72" s="89"/>
      <c r="D72" s="89"/>
      <c r="E72" s="89"/>
      <c r="F72" s="92"/>
      <c r="G72" s="93"/>
      <c r="H72" s="92"/>
      <c r="I72" s="92"/>
      <c r="J72" s="93"/>
      <c r="K72" s="358"/>
      <c r="L72" s="358"/>
      <c r="M72" s="359"/>
      <c r="N72" s="361" t="str">
        <f t="shared" si="14"/>
        <v/>
      </c>
      <c r="O72" s="362" t="str">
        <f t="shared" si="15"/>
        <v/>
      </c>
      <c r="P72" s="361">
        <f t="shared" si="11"/>
        <v>0</v>
      </c>
      <c r="Q72" s="361">
        <f t="shared" si="12"/>
        <v>0</v>
      </c>
      <c r="R72" s="361">
        <f t="shared" si="13"/>
        <v>-1E-4</v>
      </c>
    </row>
    <row r="73" spans="1:18" x14ac:dyDescent="0.25">
      <c r="A73" s="423" t="str">
        <f>IFERROR(VLOOKUP(D73,'JONS-ADPLANNING'!$G$3:$K$44,2),"")</f>
        <v/>
      </c>
      <c r="B73" s="423" t="str">
        <f>IFERROR(VLOOKUP($D73,HELPER!$A$1:$B$42,2,FALSE),"")</f>
        <v/>
      </c>
      <c r="C73" s="89"/>
      <c r="D73" s="89"/>
      <c r="E73" s="89"/>
      <c r="F73" s="92"/>
      <c r="G73" s="93"/>
      <c r="H73" s="92"/>
      <c r="I73" s="92"/>
      <c r="J73" s="93"/>
      <c r="K73" s="358"/>
      <c r="L73" s="358"/>
      <c r="M73" s="359"/>
      <c r="N73" s="361" t="str">
        <f t="shared" si="14"/>
        <v/>
      </c>
      <c r="O73" s="362" t="str">
        <f t="shared" si="15"/>
        <v/>
      </c>
      <c r="P73" s="361">
        <f t="shared" si="11"/>
        <v>0</v>
      </c>
      <c r="Q73" s="361">
        <f t="shared" si="12"/>
        <v>0</v>
      </c>
      <c r="R73" s="361">
        <f t="shared" si="13"/>
        <v>-1E-4</v>
      </c>
    </row>
    <row r="74" spans="1:18" x14ac:dyDescent="0.25">
      <c r="A74" s="423" t="str">
        <f>IFERROR(VLOOKUP(D74,'JONS-ADPLANNING'!$G$3:$K$44,2),"")</f>
        <v/>
      </c>
      <c r="B74" s="423" t="str">
        <f>IFERROR(VLOOKUP($D74,HELPER!$A$1:$B$42,2,FALSE),"")</f>
        <v/>
      </c>
      <c r="C74" s="89"/>
      <c r="D74" s="89"/>
      <c r="E74" s="89"/>
      <c r="F74" s="92"/>
      <c r="G74" s="93"/>
      <c r="H74" s="92"/>
      <c r="I74" s="92"/>
      <c r="J74" s="93"/>
      <c r="K74" s="358"/>
      <c r="L74" s="358"/>
      <c r="M74" s="359"/>
      <c r="N74" s="361" t="str">
        <f t="shared" si="14"/>
        <v/>
      </c>
      <c r="O74" s="362" t="str">
        <f t="shared" si="15"/>
        <v/>
      </c>
      <c r="P74" s="361">
        <f t="shared" si="11"/>
        <v>0</v>
      </c>
      <c r="Q74" s="361">
        <f t="shared" si="12"/>
        <v>0</v>
      </c>
      <c r="R74" s="361">
        <f t="shared" si="13"/>
        <v>-1E-4</v>
      </c>
    </row>
    <row r="75" spans="1:18" x14ac:dyDescent="0.25">
      <c r="A75" s="423" t="str">
        <f>IFERROR(VLOOKUP(D75,'JONS-ADPLANNING'!$G$3:$K$44,2),"")</f>
        <v/>
      </c>
      <c r="B75" s="423" t="str">
        <f>IFERROR(VLOOKUP($D75,HELPER!$A$1:$B$42,2,FALSE),"")</f>
        <v/>
      </c>
      <c r="C75" s="89"/>
      <c r="D75" s="89"/>
      <c r="E75" s="89"/>
      <c r="F75" s="92"/>
      <c r="G75" s="93"/>
      <c r="H75" s="92"/>
      <c r="I75" s="92"/>
      <c r="J75" s="93"/>
      <c r="K75" s="358"/>
      <c r="L75" s="358"/>
      <c r="M75" s="359"/>
      <c r="N75" s="361" t="str">
        <f t="shared" si="14"/>
        <v/>
      </c>
      <c r="O75" s="362" t="str">
        <f t="shared" si="15"/>
        <v/>
      </c>
      <c r="P75" s="361">
        <f t="shared" si="11"/>
        <v>0</v>
      </c>
      <c r="Q75" s="361">
        <f t="shared" si="12"/>
        <v>0</v>
      </c>
      <c r="R75" s="361">
        <f t="shared" si="13"/>
        <v>-1E-4</v>
      </c>
    </row>
    <row r="76" spans="1:18" x14ac:dyDescent="0.25">
      <c r="A76" s="423" t="str">
        <f>IFERROR(VLOOKUP(D76,'JONS-ADPLANNING'!$G$3:$K$44,2),"")</f>
        <v/>
      </c>
      <c r="B76" s="423" t="str">
        <f>IFERROR(VLOOKUP($D76,HELPER!$A$1:$B$42,2,FALSE),"")</f>
        <v/>
      </c>
      <c r="C76" s="89"/>
      <c r="D76" s="89"/>
      <c r="E76" s="89"/>
      <c r="F76" s="92"/>
      <c r="G76" s="93"/>
      <c r="H76" s="92"/>
      <c r="I76" s="92"/>
      <c r="J76" s="93"/>
      <c r="K76" s="358"/>
      <c r="L76" s="358"/>
      <c r="M76" s="359"/>
      <c r="N76" s="361" t="str">
        <f t="shared" si="14"/>
        <v/>
      </c>
      <c r="O76" s="362" t="str">
        <f t="shared" si="15"/>
        <v/>
      </c>
      <c r="P76" s="361">
        <f t="shared" si="11"/>
        <v>0</v>
      </c>
      <c r="Q76" s="361">
        <f t="shared" si="12"/>
        <v>0</v>
      </c>
      <c r="R76" s="361">
        <f t="shared" si="13"/>
        <v>-1E-4</v>
      </c>
    </row>
    <row r="77" spans="1:18" x14ac:dyDescent="0.25">
      <c r="A77" s="423" t="str">
        <f>IFERROR(VLOOKUP(D77,'JONS-ADPLANNING'!$G$3:$K$44,2),"")</f>
        <v/>
      </c>
      <c r="B77" s="423" t="str">
        <f>IFERROR(VLOOKUP($D77,HELPER!$A$1:$B$42,2,FALSE),"")</f>
        <v/>
      </c>
      <c r="C77" s="89"/>
      <c r="D77" s="89"/>
      <c r="E77" s="89"/>
      <c r="F77" s="92"/>
      <c r="G77" s="93"/>
      <c r="H77" s="92"/>
      <c r="I77" s="92"/>
      <c r="J77" s="93"/>
      <c r="K77" s="358"/>
      <c r="L77" s="358"/>
      <c r="M77" s="359"/>
      <c r="N77" s="361" t="str">
        <f t="shared" si="14"/>
        <v/>
      </c>
      <c r="O77" s="362" t="str">
        <f t="shared" si="15"/>
        <v/>
      </c>
      <c r="P77" s="361">
        <f t="shared" si="11"/>
        <v>0</v>
      </c>
      <c r="Q77" s="361">
        <f t="shared" si="12"/>
        <v>0</v>
      </c>
      <c r="R77" s="361">
        <f t="shared" si="13"/>
        <v>-1E-4</v>
      </c>
    </row>
    <row r="78" spans="1:18" x14ac:dyDescent="0.25">
      <c r="A78" s="423" t="str">
        <f>IFERROR(VLOOKUP(D78,'JONS-ADPLANNING'!$G$3:$K$44,2),"")</f>
        <v/>
      </c>
      <c r="B78" s="423" t="str">
        <f>IFERROR(VLOOKUP($D78,HELPER!$A$1:$B$42,2,FALSE),"")</f>
        <v/>
      </c>
      <c r="C78" s="89"/>
      <c r="D78" s="89"/>
      <c r="E78" s="89"/>
      <c r="F78" s="92"/>
      <c r="G78" s="93"/>
      <c r="H78" s="92"/>
      <c r="I78" s="92"/>
      <c r="J78" s="93"/>
      <c r="K78" s="358"/>
      <c r="L78" s="358"/>
      <c r="M78" s="359"/>
      <c r="N78" s="361" t="str">
        <f t="shared" si="14"/>
        <v/>
      </c>
      <c r="O78" s="362" t="str">
        <f t="shared" si="15"/>
        <v/>
      </c>
      <c r="P78" s="361">
        <f t="shared" si="11"/>
        <v>0</v>
      </c>
      <c r="Q78" s="361">
        <f t="shared" si="12"/>
        <v>0</v>
      </c>
      <c r="R78" s="361">
        <f t="shared" si="13"/>
        <v>-1E-4</v>
      </c>
    </row>
    <row r="79" spans="1:18" x14ac:dyDescent="0.25">
      <c r="A79" s="423" t="str">
        <f>IFERROR(VLOOKUP(D79,'JONS-ADPLANNING'!$G$3:$K$44,2),"")</f>
        <v/>
      </c>
      <c r="B79" s="423" t="str">
        <f>IFERROR(VLOOKUP($D79,HELPER!$A$1:$B$42,2,FALSE),"")</f>
        <v/>
      </c>
      <c r="C79" s="89"/>
      <c r="D79" s="89"/>
      <c r="E79" s="89"/>
      <c r="F79" s="92"/>
      <c r="G79" s="93"/>
      <c r="H79" s="92"/>
      <c r="I79" s="92"/>
      <c r="J79" s="93"/>
      <c r="K79" s="358"/>
      <c r="L79" s="358"/>
      <c r="M79" s="359"/>
      <c r="N79" s="361" t="str">
        <f t="shared" si="14"/>
        <v/>
      </c>
      <c r="O79" s="362" t="str">
        <f t="shared" si="15"/>
        <v/>
      </c>
      <c r="P79" s="361">
        <f t="shared" si="11"/>
        <v>0</v>
      </c>
      <c r="Q79" s="361">
        <f t="shared" si="12"/>
        <v>0</v>
      </c>
      <c r="R79" s="361">
        <f t="shared" si="13"/>
        <v>-1E-4</v>
      </c>
    </row>
    <row r="80" spans="1:18" x14ac:dyDescent="0.25">
      <c r="A80" s="423" t="str">
        <f>IFERROR(VLOOKUP(D80,'JONS-ADPLANNING'!$G$3:$K$44,2),"")</f>
        <v/>
      </c>
      <c r="B80" s="423" t="str">
        <f>IFERROR(VLOOKUP($D80,HELPER!$A$1:$B$42,2,FALSE),"")</f>
        <v/>
      </c>
      <c r="C80" s="89"/>
      <c r="D80" s="89"/>
      <c r="E80" s="89"/>
      <c r="F80" s="92"/>
      <c r="G80" s="93"/>
      <c r="H80" s="92"/>
      <c r="I80" s="92"/>
      <c r="J80" s="93"/>
      <c r="K80" s="358"/>
      <c r="L80" s="358"/>
      <c r="M80" s="359"/>
      <c r="N80" s="361" t="str">
        <f t="shared" si="14"/>
        <v/>
      </c>
      <c r="O80" s="362" t="str">
        <f t="shared" si="15"/>
        <v/>
      </c>
      <c r="P80" s="361">
        <f t="shared" si="11"/>
        <v>0</v>
      </c>
      <c r="Q80" s="361">
        <f t="shared" si="12"/>
        <v>0</v>
      </c>
      <c r="R80" s="361">
        <f t="shared" si="13"/>
        <v>-1E-4</v>
      </c>
    </row>
    <row r="81" spans="1:18" x14ac:dyDescent="0.25">
      <c r="A81" s="423" t="str">
        <f>IFERROR(VLOOKUP(D81,'JONS-ADPLANNING'!$G$3:$K$44,2),"")</f>
        <v/>
      </c>
      <c r="B81" s="423" t="str">
        <f>IFERROR(VLOOKUP($D81,HELPER!$A$1:$B$42,2,FALSE),"")</f>
        <v/>
      </c>
      <c r="C81" s="89"/>
      <c r="D81" s="89"/>
      <c r="E81" s="89"/>
      <c r="F81" s="92"/>
      <c r="G81" s="93"/>
      <c r="H81" s="92"/>
      <c r="I81" s="92"/>
      <c r="J81" s="93"/>
      <c r="K81" s="358"/>
      <c r="L81" s="358"/>
      <c r="M81" s="359"/>
      <c r="N81" s="361" t="str">
        <f t="shared" si="14"/>
        <v/>
      </c>
      <c r="O81" s="362" t="str">
        <f t="shared" si="15"/>
        <v/>
      </c>
      <c r="P81" s="361">
        <f t="shared" si="11"/>
        <v>0</v>
      </c>
      <c r="Q81" s="361">
        <f t="shared" si="12"/>
        <v>0</v>
      </c>
      <c r="R81" s="361">
        <f t="shared" si="13"/>
        <v>-1E-4</v>
      </c>
    </row>
    <row r="82" spans="1:18" x14ac:dyDescent="0.25">
      <c r="A82" s="423" t="str">
        <f>IFERROR(VLOOKUP(D82,'JONS-ADPLANNING'!$G$3:$K$44,2),"")</f>
        <v/>
      </c>
      <c r="B82" s="423" t="str">
        <f>IFERROR(VLOOKUP($D82,HELPER!$A$1:$B$42,2,FALSE),"")</f>
        <v/>
      </c>
      <c r="C82" s="89"/>
      <c r="D82" s="89"/>
      <c r="E82" s="89"/>
      <c r="F82" s="92"/>
      <c r="G82" s="93"/>
      <c r="H82" s="92"/>
      <c r="I82" s="92"/>
      <c r="J82" s="93"/>
      <c r="K82" s="358"/>
      <c r="L82" s="358"/>
      <c r="M82" s="359"/>
      <c r="N82" s="361" t="str">
        <f t="shared" si="14"/>
        <v/>
      </c>
      <c r="O82" s="362" t="str">
        <f t="shared" si="15"/>
        <v/>
      </c>
      <c r="P82" s="361">
        <f t="shared" si="11"/>
        <v>0</v>
      </c>
      <c r="Q82" s="361">
        <f t="shared" si="12"/>
        <v>0</v>
      </c>
      <c r="R82" s="361">
        <f t="shared" si="13"/>
        <v>-1E-4</v>
      </c>
    </row>
    <row r="83" spans="1:18" x14ac:dyDescent="0.25">
      <c r="A83" s="423" t="str">
        <f>IFERROR(VLOOKUP(D83,'JONS-ADPLANNING'!$G$3:$K$44,2),"")</f>
        <v/>
      </c>
      <c r="B83" s="423" t="str">
        <f>IFERROR(VLOOKUP($D83,HELPER!$A$1:$B$42,2,FALSE),"")</f>
        <v/>
      </c>
      <c r="C83" s="89"/>
      <c r="D83" s="89"/>
      <c r="E83" s="89"/>
      <c r="F83" s="92"/>
      <c r="G83" s="93"/>
      <c r="H83" s="92"/>
      <c r="I83" s="92"/>
      <c r="J83" s="93"/>
      <c r="K83" s="358"/>
      <c r="L83" s="358"/>
      <c r="M83" s="359"/>
      <c r="N83" s="361" t="str">
        <f t="shared" si="14"/>
        <v/>
      </c>
      <c r="O83" s="362" t="str">
        <f t="shared" si="15"/>
        <v/>
      </c>
      <c r="P83" s="361">
        <f t="shared" si="11"/>
        <v>0</v>
      </c>
      <c r="Q83" s="361">
        <f t="shared" si="12"/>
        <v>0</v>
      </c>
      <c r="R83" s="361">
        <f t="shared" si="13"/>
        <v>-1E-4</v>
      </c>
    </row>
    <row r="84" spans="1:18" x14ac:dyDescent="0.25">
      <c r="A84" s="423" t="str">
        <f>IFERROR(VLOOKUP(D84,'JONS-ADPLANNING'!$G$3:$K$44,2),"")</f>
        <v/>
      </c>
      <c r="B84" s="423" t="str">
        <f>IFERROR(VLOOKUP($D84,HELPER!$A$1:$B$42,2,FALSE),"")</f>
        <v/>
      </c>
      <c r="C84" s="89"/>
      <c r="D84" s="89"/>
      <c r="E84" s="89"/>
      <c r="F84" s="92"/>
      <c r="G84" s="93"/>
      <c r="H84" s="92"/>
      <c r="I84" s="92"/>
      <c r="J84" s="93"/>
      <c r="K84" s="358"/>
      <c r="L84" s="358"/>
      <c r="M84" s="359"/>
      <c r="N84" s="361" t="str">
        <f t="shared" si="14"/>
        <v/>
      </c>
      <c r="O84" s="362" t="str">
        <f t="shared" si="15"/>
        <v/>
      </c>
      <c r="P84" s="361">
        <f t="shared" si="11"/>
        <v>0</v>
      </c>
      <c r="Q84" s="361">
        <f t="shared" si="12"/>
        <v>0</v>
      </c>
      <c r="R84" s="361">
        <f t="shared" si="13"/>
        <v>-1E-4</v>
      </c>
    </row>
    <row r="85" spans="1:18" x14ac:dyDescent="0.25">
      <c r="A85" s="423" t="str">
        <f>IFERROR(VLOOKUP(D85,'JONS-ADPLANNING'!$G$3:$K$44,2),"")</f>
        <v/>
      </c>
      <c r="B85" s="423" t="str">
        <f>IFERROR(VLOOKUP($D85,HELPER!$A$1:$B$42,2,FALSE),"")</f>
        <v/>
      </c>
      <c r="C85" s="89"/>
      <c r="D85" s="89"/>
      <c r="E85" s="89"/>
      <c r="F85" s="92"/>
      <c r="G85" s="93"/>
      <c r="H85" s="92"/>
      <c r="I85" s="92"/>
      <c r="J85" s="93"/>
      <c r="K85" s="358"/>
      <c r="L85" s="358"/>
      <c r="M85" s="359"/>
      <c r="N85" s="361" t="str">
        <f t="shared" si="14"/>
        <v/>
      </c>
      <c r="O85" s="362" t="str">
        <f t="shared" si="15"/>
        <v/>
      </c>
      <c r="P85" s="361">
        <f t="shared" si="11"/>
        <v>0</v>
      </c>
      <c r="Q85" s="361">
        <f t="shared" si="12"/>
        <v>0</v>
      </c>
      <c r="R85" s="361">
        <f t="shared" si="13"/>
        <v>-1E-4</v>
      </c>
    </row>
    <row r="86" spans="1:18" x14ac:dyDescent="0.25">
      <c r="A86" s="423" t="str">
        <f>IFERROR(VLOOKUP(D86,'JONS-ADPLANNING'!$G$3:$K$44,2),"")</f>
        <v/>
      </c>
      <c r="B86" s="423" t="str">
        <f>IFERROR(VLOOKUP($D86,HELPER!$A$1:$B$42,2,FALSE),"")</f>
        <v/>
      </c>
      <c r="C86" s="89"/>
      <c r="D86" s="89"/>
      <c r="E86" s="89"/>
      <c r="F86" s="92"/>
      <c r="G86" s="93"/>
      <c r="H86" s="92"/>
      <c r="I86" s="92"/>
      <c r="J86" s="93"/>
      <c r="K86" s="358"/>
      <c r="L86" s="358"/>
      <c r="M86" s="359"/>
      <c r="N86" s="361" t="str">
        <f t="shared" si="14"/>
        <v/>
      </c>
      <c r="O86" s="362" t="str">
        <f t="shared" si="15"/>
        <v/>
      </c>
      <c r="P86" s="361">
        <f t="shared" si="11"/>
        <v>0</v>
      </c>
      <c r="Q86" s="361">
        <f t="shared" si="12"/>
        <v>0</v>
      </c>
      <c r="R86" s="361">
        <f t="shared" si="13"/>
        <v>-1E-4</v>
      </c>
    </row>
    <row r="87" spans="1:18" x14ac:dyDescent="0.25">
      <c r="A87" s="423" t="str">
        <f>IFERROR(VLOOKUP(D87,'JONS-ADPLANNING'!$G$3:$K$44,2),"")</f>
        <v/>
      </c>
      <c r="B87" s="423" t="str">
        <f>IFERROR(VLOOKUP($D87,HELPER!$A$1:$B$42,2,FALSE),"")</f>
        <v/>
      </c>
      <c r="C87" s="89"/>
      <c r="D87" s="89"/>
      <c r="E87" s="89"/>
      <c r="F87" s="92"/>
      <c r="G87" s="93"/>
      <c r="H87" s="92"/>
      <c r="I87" s="92"/>
      <c r="J87" s="93"/>
      <c r="K87" s="358"/>
      <c r="L87" s="358"/>
      <c r="M87" s="359"/>
      <c r="N87" s="361" t="str">
        <f t="shared" si="14"/>
        <v/>
      </c>
      <c r="O87" s="362" t="str">
        <f t="shared" si="15"/>
        <v/>
      </c>
      <c r="P87" s="361">
        <f t="shared" si="11"/>
        <v>0</v>
      </c>
      <c r="Q87" s="361">
        <f t="shared" si="12"/>
        <v>0</v>
      </c>
      <c r="R87" s="361">
        <f t="shared" si="13"/>
        <v>-1E-4</v>
      </c>
    </row>
    <row r="88" spans="1:18" x14ac:dyDescent="0.25">
      <c r="A88" s="423" t="str">
        <f>IFERROR(VLOOKUP(D88,'JONS-ADPLANNING'!$G$3:$K$44,2),"")</f>
        <v/>
      </c>
      <c r="B88" s="423" t="str">
        <f>IFERROR(VLOOKUP($D88,HELPER!$A$1:$B$42,2,FALSE),"")</f>
        <v/>
      </c>
      <c r="C88" s="89"/>
      <c r="D88" s="89"/>
      <c r="E88" s="89"/>
      <c r="F88" s="92"/>
      <c r="G88" s="93"/>
      <c r="H88" s="92"/>
      <c r="I88" s="92"/>
      <c r="J88" s="93"/>
      <c r="K88" s="358"/>
      <c r="L88" s="358"/>
      <c r="M88" s="359"/>
      <c r="N88" s="361" t="str">
        <f t="shared" si="14"/>
        <v/>
      </c>
      <c r="O88" s="362" t="str">
        <f t="shared" si="15"/>
        <v/>
      </c>
      <c r="P88" s="361">
        <f t="shared" si="11"/>
        <v>0</v>
      </c>
      <c r="Q88" s="361">
        <f t="shared" si="12"/>
        <v>0</v>
      </c>
      <c r="R88" s="361">
        <f t="shared" si="13"/>
        <v>-1E-4</v>
      </c>
    </row>
    <row r="89" spans="1:18" x14ac:dyDescent="0.25">
      <c r="A89" s="423" t="str">
        <f>IFERROR(VLOOKUP(D89,'JONS-ADPLANNING'!$G$3:$K$44,2),"")</f>
        <v/>
      </c>
      <c r="B89" s="423" t="str">
        <f>IFERROR(VLOOKUP($D89,HELPER!$A$1:$B$42,2,FALSE),"")</f>
        <v/>
      </c>
      <c r="C89" s="89"/>
      <c r="D89" s="89"/>
      <c r="E89" s="89"/>
      <c r="F89" s="92"/>
      <c r="G89" s="93"/>
      <c r="H89" s="92"/>
      <c r="I89" s="92"/>
      <c r="J89" s="93"/>
      <c r="K89" s="358"/>
      <c r="L89" s="358"/>
      <c r="M89" s="359"/>
      <c r="N89" s="361" t="str">
        <f t="shared" si="14"/>
        <v/>
      </c>
      <c r="O89" s="362" t="str">
        <f t="shared" si="15"/>
        <v/>
      </c>
      <c r="P89" s="361">
        <f t="shared" si="11"/>
        <v>0</v>
      </c>
      <c r="Q89" s="361">
        <f t="shared" si="12"/>
        <v>0</v>
      </c>
      <c r="R89" s="361">
        <f t="shared" si="13"/>
        <v>-1E-4</v>
      </c>
    </row>
    <row r="90" spans="1:18" x14ac:dyDescent="0.25">
      <c r="A90" s="423" t="str">
        <f>IFERROR(VLOOKUP(D90,'JONS-ADPLANNING'!$G$3:$K$44,2),"")</f>
        <v/>
      </c>
      <c r="B90" s="423" t="str">
        <f>IFERROR(VLOOKUP($D90,HELPER!$A$1:$B$42,2,FALSE),"")</f>
        <v/>
      </c>
      <c r="C90" s="89"/>
      <c r="D90" s="89"/>
      <c r="E90" s="89"/>
      <c r="F90" s="92"/>
      <c r="G90" s="93"/>
      <c r="H90" s="92"/>
      <c r="I90" s="92"/>
      <c r="J90" s="93"/>
      <c r="K90" s="358"/>
      <c r="L90" s="358"/>
      <c r="M90" s="359"/>
      <c r="N90" s="361" t="str">
        <f t="shared" si="14"/>
        <v/>
      </c>
      <c r="O90" s="362" t="str">
        <f t="shared" si="15"/>
        <v/>
      </c>
      <c r="P90" s="361">
        <f t="shared" si="11"/>
        <v>0</v>
      </c>
      <c r="Q90" s="361">
        <f t="shared" si="12"/>
        <v>0</v>
      </c>
      <c r="R90" s="361">
        <f t="shared" si="13"/>
        <v>-1E-4</v>
      </c>
    </row>
    <row r="91" spans="1:18" x14ac:dyDescent="0.25">
      <c r="A91" s="423" t="str">
        <f>IFERROR(VLOOKUP(D91,'JONS-ADPLANNING'!$G$3:$K$44,2),"")</f>
        <v/>
      </c>
      <c r="B91" s="423" t="str">
        <f>IFERROR(VLOOKUP($D91,HELPER!$A$1:$B$42,2,FALSE),"")</f>
        <v/>
      </c>
      <c r="C91" s="89"/>
      <c r="D91" s="89"/>
      <c r="E91" s="89"/>
      <c r="F91" s="92"/>
      <c r="G91" s="93"/>
      <c r="H91" s="92"/>
      <c r="I91" s="92"/>
      <c r="J91" s="93"/>
      <c r="K91" s="358"/>
      <c r="L91" s="358"/>
      <c r="M91" s="359"/>
      <c r="N91" s="361" t="str">
        <f t="shared" si="14"/>
        <v/>
      </c>
      <c r="O91" s="362" t="str">
        <f t="shared" si="15"/>
        <v/>
      </c>
      <c r="P91" s="361">
        <f t="shared" si="11"/>
        <v>0</v>
      </c>
      <c r="Q91" s="361">
        <f t="shared" si="12"/>
        <v>0</v>
      </c>
      <c r="R91" s="361">
        <f t="shared" si="13"/>
        <v>-1E-4</v>
      </c>
    </row>
    <row r="92" spans="1:18" x14ac:dyDescent="0.25">
      <c r="A92" s="423" t="str">
        <f>IFERROR(VLOOKUP(D92,'JONS-ADPLANNING'!$G$3:$K$44,2),"")</f>
        <v/>
      </c>
      <c r="B92" s="423" t="str">
        <f>IFERROR(VLOOKUP($D92,HELPER!$A$1:$B$42,2,FALSE),"")</f>
        <v/>
      </c>
      <c r="C92" s="89"/>
      <c r="D92" s="89"/>
      <c r="E92" s="89"/>
      <c r="F92" s="92"/>
      <c r="G92" s="93"/>
      <c r="H92" s="92"/>
      <c r="I92" s="92"/>
      <c r="J92" s="93"/>
      <c r="K92" s="358"/>
      <c r="L92" s="358"/>
      <c r="M92" s="359"/>
      <c r="N92" s="361" t="str">
        <f t="shared" si="14"/>
        <v/>
      </c>
      <c r="O92" s="362" t="str">
        <f t="shared" si="15"/>
        <v/>
      </c>
      <c r="P92" s="361">
        <f t="shared" si="11"/>
        <v>0</v>
      </c>
      <c r="Q92" s="361">
        <f t="shared" si="12"/>
        <v>0</v>
      </c>
      <c r="R92" s="361">
        <f t="shared" si="13"/>
        <v>-1E-4</v>
      </c>
    </row>
    <row r="93" spans="1:18" x14ac:dyDescent="0.25">
      <c r="A93" s="423" t="str">
        <f>IFERROR(VLOOKUP(D93,'JONS-ADPLANNING'!$G$3:$K$44,2),"")</f>
        <v/>
      </c>
      <c r="B93" s="423" t="str">
        <f>IFERROR(VLOOKUP($D93,HELPER!$A$1:$B$42,2,FALSE),"")</f>
        <v/>
      </c>
      <c r="C93" s="89"/>
      <c r="D93" s="89"/>
      <c r="E93" s="89"/>
      <c r="F93" s="92"/>
      <c r="G93" s="93"/>
      <c r="H93" s="92"/>
      <c r="I93" s="92"/>
      <c r="J93" s="93"/>
      <c r="K93" s="358"/>
      <c r="L93" s="358"/>
      <c r="M93" s="359"/>
      <c r="N93" s="361" t="str">
        <f t="shared" si="14"/>
        <v/>
      </c>
      <c r="O93" s="362" t="str">
        <f t="shared" si="15"/>
        <v/>
      </c>
      <c r="P93" s="361">
        <f t="shared" si="11"/>
        <v>0</v>
      </c>
      <c r="Q93" s="361">
        <f t="shared" si="12"/>
        <v>0</v>
      </c>
      <c r="R93" s="361">
        <f t="shared" si="13"/>
        <v>-1E-4</v>
      </c>
    </row>
    <row r="94" spans="1:18" x14ac:dyDescent="0.25">
      <c r="A94" s="423" t="str">
        <f>IFERROR(VLOOKUP(D94,'JONS-ADPLANNING'!$G$3:$K$44,2),"")</f>
        <v/>
      </c>
      <c r="B94" s="423" t="str">
        <f>IFERROR(VLOOKUP($D94,HELPER!$A$1:$B$42,2,FALSE),"")</f>
        <v/>
      </c>
      <c r="C94" s="89"/>
      <c r="D94" s="89"/>
      <c r="E94" s="89"/>
      <c r="F94" s="92"/>
      <c r="G94" s="93"/>
      <c r="H94" s="92"/>
      <c r="I94" s="92"/>
      <c r="J94" s="93"/>
      <c r="K94" s="358"/>
      <c r="L94" s="358"/>
      <c r="M94" s="359"/>
      <c r="N94" s="361" t="str">
        <f t="shared" si="14"/>
        <v/>
      </c>
      <c r="O94" s="362" t="str">
        <f t="shared" si="15"/>
        <v/>
      </c>
      <c r="P94" s="361">
        <f t="shared" si="11"/>
        <v>0</v>
      </c>
      <c r="Q94" s="361">
        <f t="shared" si="12"/>
        <v>0</v>
      </c>
      <c r="R94" s="361">
        <f t="shared" si="13"/>
        <v>-1E-4</v>
      </c>
    </row>
    <row r="95" spans="1:18" x14ac:dyDescent="0.25">
      <c r="A95" s="423" t="str">
        <f>IFERROR(VLOOKUP(D95,'JONS-ADPLANNING'!$G$3:$K$44,2),"")</f>
        <v/>
      </c>
      <c r="B95" s="423" t="str">
        <f>IFERROR(VLOOKUP($D95,HELPER!$A$1:$B$42,2,FALSE),"")</f>
        <v/>
      </c>
      <c r="C95" s="89"/>
      <c r="D95" s="89"/>
      <c r="E95" s="89"/>
      <c r="F95" s="92"/>
      <c r="G95" s="93"/>
      <c r="H95" s="92"/>
      <c r="I95" s="92"/>
      <c r="J95" s="93"/>
      <c r="K95" s="358"/>
      <c r="L95" s="358"/>
      <c r="M95" s="359"/>
      <c r="N95" s="361" t="str">
        <f t="shared" si="14"/>
        <v/>
      </c>
      <c r="O95" s="362" t="str">
        <f t="shared" si="15"/>
        <v/>
      </c>
      <c r="P95" s="361">
        <f t="shared" si="11"/>
        <v>0</v>
      </c>
      <c r="Q95" s="361">
        <f t="shared" si="12"/>
        <v>0</v>
      </c>
      <c r="R95" s="361">
        <f t="shared" si="13"/>
        <v>-1E-4</v>
      </c>
    </row>
    <row r="96" spans="1:18" x14ac:dyDescent="0.25">
      <c r="A96" s="423" t="str">
        <f>IFERROR(VLOOKUP(D96,'JONS-ADPLANNING'!$G$3:$K$44,2),"")</f>
        <v/>
      </c>
      <c r="B96" s="423" t="str">
        <f>IFERROR(VLOOKUP($D96,HELPER!$A$1:$B$42,2,FALSE),"")</f>
        <v/>
      </c>
      <c r="C96" s="89"/>
      <c r="D96" s="89"/>
      <c r="E96" s="89"/>
      <c r="F96" s="92"/>
      <c r="G96" s="93"/>
      <c r="H96" s="92"/>
      <c r="I96" s="92"/>
      <c r="J96" s="93"/>
      <c r="K96" s="358"/>
      <c r="L96" s="358"/>
      <c r="M96" s="359"/>
      <c r="N96" s="361" t="str">
        <f t="shared" si="14"/>
        <v/>
      </c>
      <c r="O96" s="362" t="str">
        <f t="shared" si="15"/>
        <v/>
      </c>
      <c r="P96" s="361">
        <f t="shared" si="11"/>
        <v>0</v>
      </c>
      <c r="Q96" s="361">
        <f t="shared" si="12"/>
        <v>0</v>
      </c>
      <c r="R96" s="361">
        <f t="shared" si="13"/>
        <v>-1E-4</v>
      </c>
    </row>
    <row r="97" spans="1:18" x14ac:dyDescent="0.25">
      <c r="A97" s="423" t="str">
        <f>IFERROR(VLOOKUP(D97,'JONS-ADPLANNING'!$G$3:$K$44,2),"")</f>
        <v/>
      </c>
      <c r="B97" s="423" t="str">
        <f>IFERROR(VLOOKUP($D97,HELPER!$A$1:$B$42,2,FALSE),"")</f>
        <v/>
      </c>
      <c r="C97" s="89"/>
      <c r="D97" s="89"/>
      <c r="E97" s="89"/>
      <c r="F97" s="92"/>
      <c r="G97" s="93"/>
      <c r="H97" s="92"/>
      <c r="I97" s="92"/>
      <c r="J97" s="93"/>
      <c r="K97" s="358"/>
      <c r="L97" s="358"/>
      <c r="M97" s="359"/>
      <c r="N97" s="361" t="str">
        <f t="shared" si="14"/>
        <v/>
      </c>
      <c r="O97" s="362" t="str">
        <f t="shared" si="15"/>
        <v/>
      </c>
      <c r="P97" s="361">
        <f t="shared" si="11"/>
        <v>0</v>
      </c>
      <c r="Q97" s="361">
        <f t="shared" si="12"/>
        <v>0</v>
      </c>
      <c r="R97" s="361">
        <f t="shared" si="13"/>
        <v>-1E-4</v>
      </c>
    </row>
    <row r="98" spans="1:18" x14ac:dyDescent="0.25">
      <c r="A98" s="423" t="str">
        <f>IFERROR(VLOOKUP(D98,'JONS-ADPLANNING'!$G$3:$K$44,2),"")</f>
        <v/>
      </c>
      <c r="B98" s="423" t="str">
        <f>IFERROR(VLOOKUP($D98,HELPER!$A$1:$B$42,2,FALSE),"")</f>
        <v/>
      </c>
      <c r="C98" s="89"/>
      <c r="D98" s="89"/>
      <c r="E98" s="89"/>
      <c r="F98" s="92"/>
      <c r="G98" s="93"/>
      <c r="H98" s="92"/>
      <c r="I98" s="92"/>
      <c r="J98" s="93"/>
      <c r="K98" s="358"/>
      <c r="L98" s="358"/>
      <c r="M98" s="359"/>
      <c r="N98" s="361" t="str">
        <f t="shared" si="14"/>
        <v/>
      </c>
      <c r="O98" s="362" t="str">
        <f t="shared" si="15"/>
        <v/>
      </c>
      <c r="P98" s="361">
        <f t="shared" si="11"/>
        <v>0</v>
      </c>
      <c r="Q98" s="361">
        <f t="shared" ref="Q98:Q100" si="16">IFERROR(P98/2,0)</f>
        <v>0</v>
      </c>
      <c r="R98" s="361">
        <f t="shared" ref="R98:R100" si="17">IFERROR(Q98-0.01%,0)</f>
        <v>-1E-4</v>
      </c>
    </row>
    <row r="99" spans="1:18" x14ac:dyDescent="0.25">
      <c r="A99" s="423" t="str">
        <f>IFERROR(VLOOKUP(D99,'JONS-ADPLANNING'!$G$3:$K$44,2),"")</f>
        <v/>
      </c>
      <c r="B99" s="423" t="str">
        <f>IFERROR(VLOOKUP($D99,HELPER!$A$1:$B$42,2,FALSE),"")</f>
        <v/>
      </c>
      <c r="C99" s="89"/>
      <c r="D99" s="89"/>
      <c r="E99" s="89"/>
      <c r="F99" s="92"/>
      <c r="G99" s="93"/>
      <c r="H99" s="92"/>
      <c r="I99" s="92"/>
      <c r="J99" s="93"/>
      <c r="K99" s="358"/>
      <c r="L99" s="358"/>
      <c r="M99" s="359"/>
      <c r="N99" s="361" t="str">
        <f t="shared" si="14"/>
        <v/>
      </c>
      <c r="O99" s="362" t="str">
        <f t="shared" si="15"/>
        <v/>
      </c>
      <c r="P99" s="361">
        <f t="shared" si="11"/>
        <v>0</v>
      </c>
      <c r="Q99" s="361">
        <f t="shared" si="16"/>
        <v>0</v>
      </c>
      <c r="R99" s="361">
        <f t="shared" si="17"/>
        <v>-1E-4</v>
      </c>
    </row>
    <row r="100" spans="1:18" x14ac:dyDescent="0.25">
      <c r="A100" s="423" t="str">
        <f>IFERROR(VLOOKUP(D100,'JONS-ADPLANNING'!$G$3:$K$44,2),"")</f>
        <v/>
      </c>
      <c r="B100" s="423" t="str">
        <f>IFERROR(VLOOKUP($D100,HELPER!$A$1:$B$42,2,FALSE),"")</f>
        <v/>
      </c>
      <c r="C100" s="89"/>
      <c r="D100" s="89"/>
      <c r="E100" s="89"/>
      <c r="F100" s="92"/>
      <c r="G100" s="93"/>
      <c r="H100" s="92"/>
      <c r="I100" s="92"/>
      <c r="J100" s="93"/>
      <c r="K100" s="358"/>
      <c r="L100" s="358"/>
      <c r="M100" s="359"/>
      <c r="N100" s="361" t="str">
        <f t="shared" si="14"/>
        <v/>
      </c>
      <c r="O100" s="362" t="str">
        <f t="shared" si="15"/>
        <v/>
      </c>
      <c r="P100" s="361">
        <f t="shared" si="11"/>
        <v>0</v>
      </c>
      <c r="Q100" s="361">
        <f t="shared" si="16"/>
        <v>0</v>
      </c>
      <c r="R100" s="361">
        <f t="shared" si="17"/>
        <v>-1E-4</v>
      </c>
    </row>
    <row r="101" spans="1:18" ht="15.75" thickBot="1" x14ac:dyDescent="0.3">
      <c r="A101" s="248"/>
      <c r="B101" s="248"/>
      <c r="C101" s="90"/>
      <c r="D101" s="90"/>
      <c r="E101" s="90"/>
      <c r="F101" s="94"/>
      <c r="G101" s="124">
        <f>SUM(IJPLC)</f>
        <v>0</v>
      </c>
      <c r="H101" s="94"/>
      <c r="I101" s="94"/>
      <c r="J101" s="124">
        <f>SUM(IJACC)</f>
        <v>0</v>
      </c>
      <c r="K101" s="349"/>
      <c r="L101" s="349"/>
      <c r="M101" s="349"/>
      <c r="N101" s="349"/>
      <c r="O101" s="349"/>
      <c r="P101" s="349"/>
      <c r="Q101" s="349"/>
      <c r="R101" s="349"/>
    </row>
  </sheetData>
  <sheetProtection sheet="1" selectLockedCells="1" autoFilter="0"/>
  <autoFilter ref="A1:R101" xr:uid="{00000000-0009-0000-0000-000007000000}">
    <sortState xmlns:xlrd2="http://schemas.microsoft.com/office/spreadsheetml/2017/richdata2" ref="A2:R101">
      <sortCondition ref="C1:C101"/>
    </sortState>
  </autoFilter>
  <customSheetViews>
    <customSheetView guid="{DDFF3EBC-2CED-4439-A844-7B6A9C88C75C}" showAutoFilter="1" hiddenColumns="1">
      <selection activeCell="L5" sqref="L5"/>
      <pageMargins left="0.7" right="0.7" top="0.75" bottom="0.75" header="0.3" footer="0.3"/>
      <pageSetup orientation="portrait" horizontalDpi="1200" verticalDpi="1200" r:id="rId1"/>
      <autoFilter ref="A1:Q1" xr:uid="{5F0388E9-E40C-4B91-A118-2FEB535AB2CB}"/>
    </customSheetView>
    <customSheetView guid="{B51176BD-3A7B-4ED1-B67D-463289B65E73}" showAutoFilter="1" hiddenColumns="1" topLeftCell="C1">
      <selection activeCell="I12" sqref="I12"/>
      <pageMargins left="0.7" right="0.7" top="0.75" bottom="0.75" header="0.3" footer="0.3"/>
      <pageSetup orientation="portrait" horizontalDpi="1200" verticalDpi="1200" r:id="rId2"/>
      <autoFilter ref="A1:Q101" xr:uid="{D1291758-00DF-410C-923E-E010390BCDED}">
        <sortState xmlns:xlrd2="http://schemas.microsoft.com/office/spreadsheetml/2017/richdata2" ref="A2:Q101">
          <sortCondition ref="B1:B101"/>
        </sortState>
      </autoFilter>
    </customSheetView>
  </customSheetViews>
  <mergeCells count="16">
    <mergeCell ref="T25:X25"/>
    <mergeCell ref="T26:X26"/>
    <mergeCell ref="Y1:AB1"/>
    <mergeCell ref="Z2:Z3"/>
    <mergeCell ref="AA2:AA3"/>
    <mergeCell ref="AB2:AB3"/>
    <mergeCell ref="Y2:Y3"/>
    <mergeCell ref="T10:U10"/>
    <mergeCell ref="W10:X10"/>
    <mergeCell ref="T1:U1"/>
    <mergeCell ref="W1:X1"/>
    <mergeCell ref="T2:U2"/>
    <mergeCell ref="W2:X2"/>
    <mergeCell ref="T3:X3"/>
    <mergeCell ref="T4:U4"/>
    <mergeCell ref="W4:X4"/>
  </mergeCells>
  <conditionalFormatting sqref="C27:C100">
    <cfRule type="duplicateValues" dxfId="16" priority="9"/>
  </conditionalFormatting>
  <conditionalFormatting sqref="F2:F100 H2:I100">
    <cfRule type="timePeriod" dxfId="15" priority="15" timePeriod="nextMonth">
      <formula>AND(MONTH(F2)=MONTH(EDATE(TODAY(),0+1)),YEAR(F2)=YEAR(EDATE(TODAY(),0+1)))</formula>
    </cfRule>
    <cfRule type="timePeriod" dxfId="14" priority="16" timePeriod="lastMonth">
      <formula>AND(MONTH(F2)=MONTH(EDATE(TODAY(),0-1)),YEAR(F2)=YEAR(EDATE(TODAY(),0-1)))</formula>
    </cfRule>
    <cfRule type="timePeriod" dxfId="13" priority="17" timePeriod="thisMonth">
      <formula>AND(MONTH(F2)=MONTH(TODAY()),YEAR(F2)=YEAR(TODAY()))</formula>
    </cfRule>
  </conditionalFormatting>
  <conditionalFormatting sqref="U9 X9">
    <cfRule type="cellIs" dxfId="12" priority="8" operator="equal">
      <formula>"$E$100"</formula>
    </cfRule>
  </conditionalFormatting>
  <conditionalFormatting sqref="A2:B100">
    <cfRule type="containsErrors" dxfId="11" priority="7">
      <formula>ISERROR(A2)</formula>
    </cfRule>
  </conditionalFormatting>
  <conditionalFormatting sqref="O2:O100">
    <cfRule type="expression" dxfId="10" priority="3" stopIfTrue="1">
      <formula>IF(ISBLANK(M2),1)</formula>
    </cfRule>
    <cfRule type="containsText" dxfId="9" priority="4" operator="containsText" text="GOOD">
      <formula>NOT(ISERROR(SEARCH("GOOD",O2)))</formula>
    </cfRule>
    <cfRule type="containsText" dxfId="8" priority="5" operator="containsText" text="OK">
      <formula>NOT(ISERROR(SEARCH("OK",O2)))</formula>
    </cfRule>
    <cfRule type="containsText" dxfId="7" priority="6" operator="containsText" text="BAD">
      <formula>NOT(ISERROR(SEARCH("BAD",O2)))</formula>
    </cfRule>
  </conditionalFormatting>
  <conditionalFormatting sqref="N2:N100">
    <cfRule type="expression" dxfId="6" priority="2">
      <formula>IF(ISBLANK(M2),1)</formula>
    </cfRule>
  </conditionalFormatting>
  <conditionalFormatting sqref="W2:X2">
    <cfRule type="containsBlanks" dxfId="5" priority="1">
      <formula>LEN(TRIM(W2))=0</formula>
    </cfRule>
  </conditionalFormatting>
  <pageMargins left="0.7" right="0.7" top="0.75" bottom="0.75" header="0.3" footer="0.3"/>
  <pageSetup orientation="portrait" horizontalDpi="1200" verticalDpi="1200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</sheetPr>
  <dimension ref="A1:Q100"/>
  <sheetViews>
    <sheetView zoomScaleNormal="100" workbookViewId="0">
      <selection activeCell="P2" sqref="P2:Q2"/>
    </sheetView>
  </sheetViews>
  <sheetFormatPr defaultRowHeight="15" x14ac:dyDescent="0.25"/>
  <cols>
    <col min="1" max="1" width="9" style="116" bestFit="1" customWidth="1"/>
    <col min="2" max="2" width="14.7109375" style="116" bestFit="1" customWidth="1"/>
    <col min="3" max="3" width="18.5703125" style="116" bestFit="1" customWidth="1"/>
    <col min="4" max="4" width="17.42578125" style="116" bestFit="1" customWidth="1"/>
    <col min="5" max="5" width="19.42578125" style="116" bestFit="1" customWidth="1"/>
    <col min="6" max="6" width="16.28515625" style="116" bestFit="1" customWidth="1"/>
    <col min="7" max="7" width="17.140625" style="116" bestFit="1" customWidth="1"/>
    <col min="8" max="8" width="16.140625" style="116" bestFit="1" customWidth="1"/>
    <col min="9" max="9" width="18.140625" style="116" bestFit="1" customWidth="1"/>
    <col min="10" max="10" width="15" style="116" bestFit="1" customWidth="1"/>
    <col min="11" max="11" width="15.140625" style="116" bestFit="1" customWidth="1"/>
    <col min="14" max="14" width="11.28515625" bestFit="1" customWidth="1"/>
    <col min="15" max="15" width="1.42578125" customWidth="1"/>
    <col min="17" max="17" width="10.28515625" bestFit="1" customWidth="1"/>
  </cols>
  <sheetData>
    <row r="1" spans="1:17" x14ac:dyDescent="0.25">
      <c r="A1" s="207" t="s">
        <v>20</v>
      </c>
      <c r="B1" s="117" t="s">
        <v>52</v>
      </c>
      <c r="C1" s="117" t="s">
        <v>190</v>
      </c>
      <c r="D1" s="117" t="s">
        <v>191</v>
      </c>
      <c r="E1" s="117" t="s">
        <v>192</v>
      </c>
      <c r="F1" s="117" t="s">
        <v>193</v>
      </c>
      <c r="G1" s="118" t="s">
        <v>194</v>
      </c>
      <c r="H1" s="117" t="s">
        <v>195</v>
      </c>
      <c r="I1" s="117" t="s">
        <v>196</v>
      </c>
      <c r="J1" s="117" t="s">
        <v>197</v>
      </c>
      <c r="K1" s="117" t="s">
        <v>198</v>
      </c>
      <c r="M1" s="725" t="s">
        <v>1</v>
      </c>
      <c r="N1" s="725"/>
      <c r="O1" s="115"/>
      <c r="P1" s="686" t="s">
        <v>54</v>
      </c>
      <c r="Q1" s="686"/>
    </row>
    <row r="2" spans="1:17" ht="15.75" thickBot="1" x14ac:dyDescent="0.3">
      <c r="A2" s="208"/>
      <c r="B2" s="206"/>
      <c r="C2" s="121"/>
      <c r="D2" s="122"/>
      <c r="E2" s="122"/>
      <c r="F2" s="122"/>
      <c r="G2" s="121"/>
      <c r="H2" s="122"/>
      <c r="I2" s="122"/>
      <c r="J2" s="122"/>
      <c r="K2" s="123"/>
      <c r="M2" s="689">
        <f>'BUDGET OVERVIEW'!B1</f>
        <v>2022</v>
      </c>
      <c r="N2" s="689"/>
      <c r="O2" s="12"/>
      <c r="P2" s="697"/>
      <c r="Q2" s="697"/>
    </row>
    <row r="3" spans="1:17" ht="15.75" thickBot="1" x14ac:dyDescent="0.3">
      <c r="A3" s="208"/>
      <c r="B3" s="206"/>
      <c r="C3" s="121"/>
      <c r="D3" s="122"/>
      <c r="E3" s="122"/>
      <c r="F3" s="122"/>
      <c r="G3" s="121"/>
      <c r="H3" s="122"/>
      <c r="I3" s="122"/>
      <c r="J3" s="122"/>
      <c r="K3" s="123"/>
      <c r="M3" s="694" t="s">
        <v>55</v>
      </c>
      <c r="N3" s="695"/>
      <c r="O3" s="695"/>
      <c r="P3" s="695"/>
      <c r="Q3" s="696"/>
    </row>
    <row r="4" spans="1:17" x14ac:dyDescent="0.25">
      <c r="A4" s="208"/>
      <c r="B4" s="206"/>
      <c r="C4" s="121"/>
      <c r="D4" s="122"/>
      <c r="E4" s="122"/>
      <c r="F4" s="122"/>
      <c r="G4" s="121"/>
      <c r="H4" s="122"/>
      <c r="I4" s="122"/>
      <c r="J4" s="122"/>
      <c r="K4" s="123"/>
      <c r="M4" s="690" t="s">
        <v>7</v>
      </c>
      <c r="N4" s="691"/>
      <c r="O4" s="13"/>
      <c r="P4" s="692" t="s">
        <v>22</v>
      </c>
      <c r="Q4" s="693"/>
    </row>
    <row r="5" spans="1:17" x14ac:dyDescent="0.25">
      <c r="A5" s="208"/>
      <c r="B5" s="206"/>
      <c r="C5" s="121"/>
      <c r="D5" s="122"/>
      <c r="E5" s="122"/>
      <c r="F5" s="122"/>
      <c r="G5" s="121"/>
      <c r="H5" s="122"/>
      <c r="I5" s="122"/>
      <c r="J5" s="122"/>
      <c r="K5" s="123"/>
      <c r="M5" s="18" t="s">
        <v>2</v>
      </c>
      <c r="N5" s="49">
        <f>SUMIFS(MAILOUTS!$F$2:$F$100,MAILOUTS!$C$2:$C$100,"&gt;="&amp;DATE(MAILOUTS!$M$2-1,10,1),MAILOUTS!$C$2:$C$100,"&lt;="&amp;DATE(MAILOUTS!$M$2-1,12,31))</f>
        <v>0</v>
      </c>
      <c r="O5" s="13"/>
      <c r="P5" s="47" t="s">
        <v>2</v>
      </c>
      <c r="Q5" s="19">
        <f>SUMIFS($J$2:$J$100,$G$2:$G$100,"&gt;="&amp;DATE($M$2-1,10,1),$G$2:$G$100,"&lt;="&amp;DATE($M$2-1,12,31))</f>
        <v>0</v>
      </c>
    </row>
    <row r="6" spans="1:17" x14ac:dyDescent="0.25">
      <c r="A6" s="208"/>
      <c r="B6" s="206"/>
      <c r="C6" s="121"/>
      <c r="D6" s="122"/>
      <c r="E6" s="122"/>
      <c r="F6" s="122"/>
      <c r="G6" s="121"/>
      <c r="H6" s="122"/>
      <c r="I6" s="122"/>
      <c r="J6" s="122"/>
      <c r="K6" s="123"/>
      <c r="M6" s="18" t="s">
        <v>3</v>
      </c>
      <c r="N6" s="49">
        <f>SUMIFS(MAILOUTS!$F$2:$F$100,MAILOUTS!$C$2:$C$100,"&gt;="&amp;DATE(MAILOUTS!$M$2,1,1),MAILOUTS!$C$2:$C$100,"&lt;="&amp;DATE(MAILOUTS!$M$2,3,31))</f>
        <v>0</v>
      </c>
      <c r="O6" s="13"/>
      <c r="P6" s="47" t="s">
        <v>3</v>
      </c>
      <c r="Q6" s="19">
        <f>SUMIFS($J$2:$J$100,$G$2:$G$100,"&gt;="&amp;DATE($M$2,1,1),$G$2:$G$100,"&lt;="&amp;DATE($M$2,3,31))</f>
        <v>0</v>
      </c>
    </row>
    <row r="7" spans="1:17" x14ac:dyDescent="0.25">
      <c r="A7" s="208"/>
      <c r="B7" s="206"/>
      <c r="C7" s="121"/>
      <c r="D7" s="122"/>
      <c r="E7" s="122"/>
      <c r="F7" s="122"/>
      <c r="G7" s="121"/>
      <c r="H7" s="122"/>
      <c r="I7" s="122"/>
      <c r="J7" s="122"/>
      <c r="K7" s="123"/>
      <c r="M7" s="18" t="s">
        <v>4</v>
      </c>
      <c r="N7" s="49">
        <f>SUMIFS(MAILOUTS!$F$2:$F$100,MAILOUTS!$C$2:$C$100,"&gt;="&amp;DATE(MAILOUTS!$M$2,4,1),MAILOUTS!$C$2:$C$100,"&lt;="&amp;DATE(MAILOUTS!$M$2,6,30))</f>
        <v>0</v>
      </c>
      <c r="O7" s="13"/>
      <c r="P7" s="47" t="s">
        <v>4</v>
      </c>
      <c r="Q7" s="19">
        <f>SUMIFS($J$2:$J$100,$G$2:$G$100,"&gt;="&amp;DATE($M$2,4,1),$G$2:$G$100,"&lt;="&amp;DATE($M$2,6,30))</f>
        <v>0</v>
      </c>
    </row>
    <row r="8" spans="1:17" ht="15.75" thickBot="1" x14ac:dyDescent="0.3">
      <c r="A8" s="208"/>
      <c r="B8" s="206"/>
      <c r="C8" s="121"/>
      <c r="D8" s="122"/>
      <c r="E8" s="122"/>
      <c r="F8" s="122"/>
      <c r="G8" s="121"/>
      <c r="H8" s="122"/>
      <c r="I8" s="122"/>
      <c r="J8" s="122"/>
      <c r="K8" s="123"/>
      <c r="M8" s="25" t="s">
        <v>5</v>
      </c>
      <c r="N8" s="109">
        <f>SUMIFS(MAILOUTS!$F$2:$F$100,MAILOUTS!$C$2:$C$100,"&gt;="&amp;DATE(MAILOUTS!$M$2,7,1),MAILOUTS!$C$2:$C$100,"&lt;="&amp;DATE(MAILOUTS!$M$2,9,31))</f>
        <v>0</v>
      </c>
      <c r="O8" s="13"/>
      <c r="P8" s="114" t="s">
        <v>5</v>
      </c>
      <c r="Q8" s="26">
        <f>SUMIFS($J$2:$J$100,$G$2:$G$100,"&gt;="&amp;DATE($M$2,7,1),$G$2:$G$100,"&lt;="&amp;DATE($M$2,9,30))</f>
        <v>0</v>
      </c>
    </row>
    <row r="9" spans="1:17" ht="15.75" thickBot="1" x14ac:dyDescent="0.3">
      <c r="A9" s="208"/>
      <c r="B9" s="206"/>
      <c r="C9" s="121"/>
      <c r="D9" s="122"/>
      <c r="E9" s="122"/>
      <c r="F9" s="122"/>
      <c r="G9" s="121"/>
      <c r="H9" s="122"/>
      <c r="I9" s="122"/>
      <c r="J9" s="122"/>
      <c r="K9" s="123"/>
      <c r="M9" s="27" t="s">
        <v>6</v>
      </c>
      <c r="N9" s="28">
        <f>SUM(N5:N8)</f>
        <v>0</v>
      </c>
      <c r="O9" s="13"/>
      <c r="P9" s="29" t="s">
        <v>6</v>
      </c>
      <c r="Q9" s="30">
        <f>SUM(Q5:Q8)</f>
        <v>0</v>
      </c>
    </row>
    <row r="10" spans="1:17" x14ac:dyDescent="0.25">
      <c r="A10" s="208"/>
      <c r="B10" s="206"/>
      <c r="C10" s="121"/>
      <c r="D10" s="122"/>
      <c r="E10" s="122"/>
      <c r="F10" s="122"/>
      <c r="G10" s="121"/>
      <c r="H10" s="122"/>
      <c r="I10" s="122"/>
      <c r="J10" s="122"/>
      <c r="K10" s="123"/>
      <c r="M10" s="650" t="s">
        <v>21</v>
      </c>
      <c r="N10" s="651"/>
      <c r="O10" s="13"/>
      <c r="P10" s="722" t="s">
        <v>21</v>
      </c>
      <c r="Q10" s="724"/>
    </row>
    <row r="11" spans="1:17" x14ac:dyDescent="0.25">
      <c r="A11" s="208"/>
      <c r="B11" s="206"/>
      <c r="C11" s="121"/>
      <c r="D11" s="122"/>
      <c r="E11" s="122"/>
      <c r="F11" s="122"/>
      <c r="G11" s="121"/>
      <c r="H11" s="122"/>
      <c r="I11" s="122"/>
      <c r="J11" s="122"/>
      <c r="K11" s="123"/>
      <c r="M11" s="18" t="s">
        <v>18</v>
      </c>
      <c r="N11" s="49">
        <f>SUMIFS($F$2:$F$100,$C$2:$C$100,"&gt;="&amp;DATE($M$2-1,10,1),$C$2:$C$100,"&lt;="&amp;DATE($M$2-1,10,31))</f>
        <v>0</v>
      </c>
      <c r="O11" s="13"/>
      <c r="P11" s="47" t="s">
        <v>18</v>
      </c>
      <c r="Q11" s="19">
        <f>SUMIFS($J$2:$J$100,$G$2:$G$100,"&gt;="&amp;DATE($M$2-1,10,1),$G$2:$G$100,"&lt;="&amp;DATE($M$2-1,10,31))</f>
        <v>0</v>
      </c>
    </row>
    <row r="12" spans="1:17" x14ac:dyDescent="0.25">
      <c r="A12" s="208"/>
      <c r="B12" s="206"/>
      <c r="C12" s="121"/>
      <c r="D12" s="122"/>
      <c r="E12" s="122"/>
      <c r="F12" s="122"/>
      <c r="G12" s="121"/>
      <c r="H12" s="122"/>
      <c r="I12" s="122"/>
      <c r="J12" s="122"/>
      <c r="K12" s="123"/>
      <c r="M12" s="18" t="s">
        <v>19</v>
      </c>
      <c r="N12" s="49">
        <f>SUMIFS($F$2:$F$100,$C$2:$C$100,"&gt;="&amp;DATE($M$2-1,11,1),$C$2:$C$100,"&lt;="&amp;DATE($M$2-1,11,30))</f>
        <v>0</v>
      </c>
      <c r="O12" s="13"/>
      <c r="P12" s="47" t="s">
        <v>19</v>
      </c>
      <c r="Q12" s="19">
        <f>SUMIFS($J$2:$J$100,$G$2:$G$100,"&gt;="&amp;DATE($M$2-1,11,1),$G$2:$G$100,"&lt;="&amp;DATE($M$2-1,11,30))</f>
        <v>0</v>
      </c>
    </row>
    <row r="13" spans="1:17" x14ac:dyDescent="0.25">
      <c r="A13" s="208"/>
      <c r="B13" s="206"/>
      <c r="C13" s="121"/>
      <c r="D13" s="122"/>
      <c r="E13" s="122"/>
      <c r="F13" s="122"/>
      <c r="G13" s="121"/>
      <c r="H13" s="122"/>
      <c r="I13" s="122"/>
      <c r="J13" s="122"/>
      <c r="K13" s="123"/>
      <c r="M13" s="18" t="s">
        <v>20</v>
      </c>
      <c r="N13" s="49">
        <f>SUMIFS($F$2:$F$100,$C$2:$C$100,"&gt;="&amp;DATE($M$2-1,12,1),$C$2:$C$100,"&lt;="&amp;DATE($M$2-1,12,31))</f>
        <v>0</v>
      </c>
      <c r="O13" s="13"/>
      <c r="P13" s="47" t="s">
        <v>20</v>
      </c>
      <c r="Q13" s="19">
        <f>SUMIFS($J$2:$J$100,$G$2:$G$100,"&gt;="&amp;DATE($M$2-1,12,1),$G$2:$G$100,"&lt;="&amp;DATE($M$2-1,12,31))</f>
        <v>0</v>
      </c>
    </row>
    <row r="14" spans="1:17" x14ac:dyDescent="0.25">
      <c r="A14" s="208"/>
      <c r="B14" s="206"/>
      <c r="C14" s="121"/>
      <c r="D14" s="122"/>
      <c r="E14" s="122"/>
      <c r="F14" s="122"/>
      <c r="G14" s="121"/>
      <c r="H14" s="122"/>
      <c r="I14" s="122"/>
      <c r="J14" s="122"/>
      <c r="K14" s="123"/>
      <c r="M14" s="18" t="s">
        <v>9</v>
      </c>
      <c r="N14" s="49">
        <f>SUMIFS($F$2:$F$100,$C$2:$C$100,"&gt;="&amp;DATE($M$2,1,1),$C$2:$C$100,"&lt;="&amp;DATE($M$2,1,31))</f>
        <v>0</v>
      </c>
      <c r="O14" s="13"/>
      <c r="P14" s="47" t="s">
        <v>9</v>
      </c>
      <c r="Q14" s="19">
        <f>SUMIFS($J$2:$J$100,$G$2:$G$100,"&gt;="&amp;DATE($M$2,1,1),$G$2:$G$100,"&lt;="&amp;DATE($M$2,1,31))</f>
        <v>0</v>
      </c>
    </row>
    <row r="15" spans="1:17" x14ac:dyDescent="0.25">
      <c r="A15" s="208"/>
      <c r="B15" s="206"/>
      <c r="C15" s="121"/>
      <c r="D15" s="122"/>
      <c r="E15" s="122"/>
      <c r="F15" s="122"/>
      <c r="G15" s="121"/>
      <c r="H15" s="122"/>
      <c r="I15" s="122"/>
      <c r="J15" s="122"/>
      <c r="K15" s="123"/>
      <c r="M15" s="18" t="s">
        <v>10</v>
      </c>
      <c r="N15" s="49">
        <f>SUMIFS($F$2:$F$100,$C$2:$C$100,"&gt;="&amp;DATE($M$2,2,1),$C$2:$C$100,"&lt;="&amp;DATE($M$2,2,28))</f>
        <v>0</v>
      </c>
      <c r="O15" s="13"/>
      <c r="P15" s="47" t="s">
        <v>10</v>
      </c>
      <c r="Q15" s="19">
        <f>SUMIFS($J$2:$J$100,$G$2:$G$100,"&gt;="&amp;DATE($M$2,2,1),$G$2:$G$100,"&lt;="&amp;DATE($M$2,2,28))</f>
        <v>0</v>
      </c>
    </row>
    <row r="16" spans="1:17" x14ac:dyDescent="0.25">
      <c r="A16" s="208"/>
      <c r="B16" s="206"/>
      <c r="C16" s="121"/>
      <c r="D16" s="122"/>
      <c r="E16" s="122"/>
      <c r="F16" s="122"/>
      <c r="G16" s="121"/>
      <c r="H16" s="122"/>
      <c r="I16" s="122"/>
      <c r="J16" s="122"/>
      <c r="K16" s="123"/>
      <c r="M16" s="18" t="s">
        <v>11</v>
      </c>
      <c r="N16" s="49">
        <f>SUMIFS($F$2:$F$100,$C$2:$C$100,"&gt;="&amp;DATE($M$2,3,1),$C$2:$C$100,"&lt;="&amp;DATE($M$2,3,31))</f>
        <v>0</v>
      </c>
      <c r="O16" s="13"/>
      <c r="P16" s="47" t="s">
        <v>11</v>
      </c>
      <c r="Q16" s="19">
        <f>SUMIFS($J$2:$J$100,$G$2:$G$100,"&gt;="&amp;DATE($M$2,3,1),$G$2:$G$100,"&lt;="&amp;DATE($M$2,3,31))</f>
        <v>0</v>
      </c>
    </row>
    <row r="17" spans="1:17" x14ac:dyDescent="0.25">
      <c r="A17" s="208"/>
      <c r="B17" s="206"/>
      <c r="C17" s="121"/>
      <c r="D17" s="122"/>
      <c r="E17" s="122"/>
      <c r="F17" s="122"/>
      <c r="G17" s="121"/>
      <c r="H17" s="122"/>
      <c r="I17" s="122"/>
      <c r="J17" s="122"/>
      <c r="K17" s="123"/>
      <c r="M17" s="18" t="s">
        <v>12</v>
      </c>
      <c r="N17" s="49">
        <f>SUMIFS($F$2:$F$100,$C$2:$C$100,"&gt;="&amp;DATE($M$2,4,1),$C$2:$C$100,"&lt;="&amp;DATE($M$2,4,30))</f>
        <v>0</v>
      </c>
      <c r="O17" s="13"/>
      <c r="P17" s="47" t="s">
        <v>12</v>
      </c>
      <c r="Q17" s="19">
        <f>SUMIFS($J$2:$J$100,$G$2:$G$100,"&gt;="&amp;DATE($M$2,4,1),$G$2:$G$100,"&lt;="&amp;DATE($M$2,4,30))</f>
        <v>0</v>
      </c>
    </row>
    <row r="18" spans="1:17" x14ac:dyDescent="0.25">
      <c r="A18" s="208"/>
      <c r="B18" s="206"/>
      <c r="C18" s="121"/>
      <c r="D18" s="122"/>
      <c r="E18" s="122"/>
      <c r="F18" s="122"/>
      <c r="G18" s="121"/>
      <c r="H18" s="122"/>
      <c r="I18" s="122"/>
      <c r="J18" s="122"/>
      <c r="K18" s="123"/>
      <c r="M18" s="18" t="s">
        <v>13</v>
      </c>
      <c r="N18" s="49">
        <f>SUMIFS($F$2:$F$100,$C$2:$C$100,"&gt;="&amp;DATE($M$2,5,1),$C$2:$C$100,"&lt;="&amp;DATE($M$2,5,31))</f>
        <v>0</v>
      </c>
      <c r="O18" s="13"/>
      <c r="P18" s="47" t="s">
        <v>13</v>
      </c>
      <c r="Q18" s="19">
        <f>SUMIFS($J$2:$J$100,$G$2:$G$100,"&gt;="&amp;DATE($M$2,5,1),$G$2:$G$100,"&lt;="&amp;DATE($M$2,5,31))</f>
        <v>0</v>
      </c>
    </row>
    <row r="19" spans="1:17" x14ac:dyDescent="0.25">
      <c r="A19" s="208"/>
      <c r="B19" s="206"/>
      <c r="C19" s="121"/>
      <c r="D19" s="122"/>
      <c r="E19" s="122"/>
      <c r="F19" s="122"/>
      <c r="G19" s="121"/>
      <c r="H19" s="122"/>
      <c r="I19" s="122"/>
      <c r="J19" s="122"/>
      <c r="K19" s="123"/>
      <c r="M19" s="18" t="s">
        <v>14</v>
      </c>
      <c r="N19" s="49">
        <f>SUMIFS($F$2:$F$100,$C$2:$C$100,"&gt;="&amp;DATE($M$2,6,1),$C$2:$C$100,"&lt;="&amp;DATE($M$2,6,30))</f>
        <v>0</v>
      </c>
      <c r="O19" s="13"/>
      <c r="P19" s="47" t="s">
        <v>14</v>
      </c>
      <c r="Q19" s="19">
        <f>SUMIFS($J$2:$J$100,$G$2:$G$100,"&gt;="&amp;DATE($M$2,6,1),$G$2:$G$100,"&lt;="&amp;DATE($M$2,6,30))</f>
        <v>0</v>
      </c>
    </row>
    <row r="20" spans="1:17" x14ac:dyDescent="0.25">
      <c r="A20" s="208"/>
      <c r="B20" s="206"/>
      <c r="C20" s="121"/>
      <c r="D20" s="122"/>
      <c r="E20" s="122"/>
      <c r="F20" s="122"/>
      <c r="G20" s="121"/>
      <c r="H20" s="122"/>
      <c r="I20" s="122"/>
      <c r="J20" s="122"/>
      <c r="K20" s="123"/>
      <c r="M20" s="18" t="s">
        <v>15</v>
      </c>
      <c r="N20" s="49">
        <f>SUMIFS($F$2:$F$100,$C$2:$C$100,"&gt;="&amp;DATE($M$2,7,1),$C$2:$C$100,"&lt;="&amp;DATE($M$2,7,31))</f>
        <v>0</v>
      </c>
      <c r="O20" s="13"/>
      <c r="P20" s="47" t="s">
        <v>15</v>
      </c>
      <c r="Q20" s="19">
        <f>SUMIFS($J$2:$J$100,$G$2:$G$100,"&gt;="&amp;DATE($M$2,7,1),$G$2:$G$100,"&lt;="&amp;DATE($M$2,7,31))</f>
        <v>0</v>
      </c>
    </row>
    <row r="21" spans="1:17" x14ac:dyDescent="0.25">
      <c r="A21" s="208"/>
      <c r="B21" s="206"/>
      <c r="C21" s="121"/>
      <c r="D21" s="122"/>
      <c r="E21" s="122"/>
      <c r="F21" s="122"/>
      <c r="G21" s="121"/>
      <c r="H21" s="122"/>
      <c r="I21" s="122"/>
      <c r="J21" s="122"/>
      <c r="K21" s="123"/>
      <c r="M21" s="18" t="s">
        <v>16</v>
      </c>
      <c r="N21" s="49">
        <f>SUMIFS($F$2:$F$100,$C$2:$C$100,"&gt;="&amp;DATE($M$2,8,1),$C$2:$C$100,"&lt;="&amp;DATE($M$2,8,31))</f>
        <v>0</v>
      </c>
      <c r="O21" s="13"/>
      <c r="P21" s="47" t="s">
        <v>16</v>
      </c>
      <c r="Q21" s="19">
        <f>SUMIFS($J$2:$J$100,$G$2:$G$100,"&gt;="&amp;DATE($M$2,8,1),$G$2:$G$100,"&lt;="&amp;DATE($M$2,8,31))</f>
        <v>0</v>
      </c>
    </row>
    <row r="22" spans="1:17" ht="15.75" thickBot="1" x14ac:dyDescent="0.3">
      <c r="A22" s="208"/>
      <c r="B22" s="206"/>
      <c r="C22" s="121"/>
      <c r="D22" s="122"/>
      <c r="E22" s="122"/>
      <c r="F22" s="122"/>
      <c r="G22" s="121"/>
      <c r="H22" s="122"/>
      <c r="I22" s="122"/>
      <c r="J22" s="122"/>
      <c r="K22" s="123"/>
      <c r="M22" s="25" t="s">
        <v>17</v>
      </c>
      <c r="N22" s="109">
        <f>SUMIFS($F$2:$F$100,$C$2:$C$100,"&gt;="&amp;DATE($M$2,9,1),$C$2:$C$100,"&lt;="&amp;DATE($M$2,9,30))</f>
        <v>0</v>
      </c>
      <c r="O22" s="13"/>
      <c r="P22" s="114" t="s">
        <v>17</v>
      </c>
      <c r="Q22" s="26">
        <f>SUMIFS($J$2:$J$100,$G$2:$G$100,"&gt;="&amp;DATE($M$2,9,1),$G$2:$G$100,"&lt;="&amp;DATE($M$2,9,30))</f>
        <v>0</v>
      </c>
    </row>
    <row r="23" spans="1:17" ht="15.75" thickBot="1" x14ac:dyDescent="0.3">
      <c r="A23" s="208"/>
      <c r="B23" s="206"/>
      <c r="C23" s="121"/>
      <c r="D23" s="122"/>
      <c r="E23" s="122"/>
      <c r="F23" s="122"/>
      <c r="G23" s="121"/>
      <c r="H23" s="122"/>
      <c r="I23" s="122"/>
      <c r="J23" s="122"/>
      <c r="K23" s="123"/>
      <c r="M23" s="27" t="s">
        <v>6</v>
      </c>
      <c r="N23" s="252">
        <f>SUM(N11:N22)</f>
        <v>0</v>
      </c>
      <c r="O23" s="38"/>
      <c r="P23" s="29" t="s">
        <v>6</v>
      </c>
      <c r="Q23" s="253">
        <f>SUM(Q11:Q22)</f>
        <v>0</v>
      </c>
    </row>
    <row r="24" spans="1:17" x14ac:dyDescent="0.25">
      <c r="A24" s="208"/>
      <c r="B24" s="206"/>
      <c r="C24" s="121"/>
      <c r="D24" s="122"/>
      <c r="E24" s="122"/>
      <c r="F24" s="122"/>
      <c r="G24" s="121"/>
      <c r="H24" s="122"/>
      <c r="I24" s="122"/>
      <c r="J24" s="122"/>
      <c r="K24" s="123"/>
    </row>
    <row r="25" spans="1:17" x14ac:dyDescent="0.25">
      <c r="A25" s="208"/>
      <c r="B25" s="206"/>
      <c r="C25" s="121"/>
      <c r="D25" s="122"/>
      <c r="E25" s="122"/>
      <c r="F25" s="122"/>
      <c r="G25" s="121"/>
      <c r="H25" s="122"/>
      <c r="I25" s="122"/>
      <c r="J25" s="122"/>
      <c r="K25" s="120"/>
      <c r="M25" s="119"/>
    </row>
    <row r="26" spans="1:17" x14ac:dyDescent="0.25">
      <c r="A26" s="208"/>
      <c r="B26" s="206"/>
      <c r="C26" s="121"/>
      <c r="D26" s="122"/>
      <c r="E26" s="122"/>
      <c r="F26" s="122"/>
      <c r="G26" s="121"/>
      <c r="H26" s="122"/>
      <c r="I26" s="122"/>
      <c r="J26" s="122"/>
      <c r="K26" s="123"/>
      <c r="M26" s="119"/>
    </row>
    <row r="27" spans="1:17" x14ac:dyDescent="0.25">
      <c r="A27" s="208"/>
      <c r="B27" s="206"/>
      <c r="C27" s="121"/>
      <c r="D27" s="122"/>
      <c r="E27" s="122"/>
      <c r="F27" s="122"/>
      <c r="G27" s="121"/>
      <c r="H27" s="122"/>
      <c r="I27" s="122"/>
      <c r="J27" s="122"/>
      <c r="K27" s="123"/>
      <c r="M27" s="107"/>
    </row>
    <row r="28" spans="1:17" x14ac:dyDescent="0.25">
      <c r="A28" s="208"/>
      <c r="B28" s="206"/>
      <c r="C28" s="121"/>
      <c r="D28" s="122"/>
      <c r="E28" s="122"/>
      <c r="F28" s="122"/>
      <c r="G28" s="121"/>
      <c r="H28" s="122"/>
      <c r="I28" s="122"/>
      <c r="J28" s="122"/>
      <c r="K28" s="123"/>
      <c r="M28" s="107"/>
    </row>
    <row r="29" spans="1:17" x14ac:dyDescent="0.25">
      <c r="A29" s="208"/>
      <c r="B29" s="206"/>
      <c r="C29" s="121"/>
      <c r="D29" s="122"/>
      <c r="E29" s="122"/>
      <c r="F29" s="122"/>
      <c r="G29" s="121"/>
      <c r="H29" s="122"/>
      <c r="I29" s="122"/>
      <c r="J29" s="122"/>
      <c r="K29" s="123"/>
    </row>
    <row r="30" spans="1:17" x14ac:dyDescent="0.25">
      <c r="A30" s="208"/>
      <c r="B30" s="206"/>
      <c r="C30" s="121"/>
      <c r="D30" s="122"/>
      <c r="E30" s="122"/>
      <c r="F30" s="122"/>
      <c r="G30" s="121"/>
      <c r="H30" s="122"/>
      <c r="I30" s="122"/>
      <c r="J30" s="122"/>
      <c r="K30" s="123"/>
    </row>
    <row r="31" spans="1:17" x14ac:dyDescent="0.25">
      <c r="A31" s="208"/>
      <c r="B31" s="206"/>
      <c r="C31" s="121"/>
      <c r="D31" s="122"/>
      <c r="E31" s="122"/>
      <c r="F31" s="122"/>
      <c r="G31" s="121"/>
      <c r="H31" s="122"/>
      <c r="I31" s="122"/>
      <c r="J31" s="122"/>
      <c r="K31" s="120"/>
    </row>
    <row r="32" spans="1:17" x14ac:dyDescent="0.25">
      <c r="A32" s="208"/>
      <c r="B32" s="206"/>
      <c r="C32" s="121"/>
      <c r="D32" s="120"/>
      <c r="E32" s="120"/>
      <c r="F32" s="122"/>
      <c r="G32" s="121"/>
      <c r="H32" s="120"/>
      <c r="I32" s="120"/>
      <c r="J32" s="122"/>
      <c r="K32" s="120"/>
    </row>
    <row r="33" spans="1:11" x14ac:dyDescent="0.25">
      <c r="A33" s="208"/>
      <c r="B33" s="206"/>
      <c r="C33" s="121"/>
      <c r="D33" s="120"/>
      <c r="E33" s="120"/>
      <c r="F33" s="120"/>
      <c r="G33" s="121"/>
      <c r="H33" s="120"/>
      <c r="I33" s="120"/>
      <c r="J33" s="120"/>
      <c r="K33" s="120"/>
    </row>
    <row r="34" spans="1:11" x14ac:dyDescent="0.25">
      <c r="A34" s="208"/>
      <c r="B34" s="206"/>
      <c r="C34" s="121"/>
      <c r="D34" s="120"/>
      <c r="E34" s="120"/>
      <c r="F34" s="120"/>
      <c r="G34" s="121"/>
      <c r="H34" s="120"/>
      <c r="I34" s="120"/>
      <c r="J34" s="120"/>
      <c r="K34" s="120"/>
    </row>
    <row r="35" spans="1:11" x14ac:dyDescent="0.25">
      <c r="A35" s="208"/>
      <c r="B35" s="206"/>
      <c r="C35" s="121"/>
      <c r="D35" s="120"/>
      <c r="E35" s="120"/>
      <c r="F35" s="120"/>
      <c r="G35" s="121"/>
      <c r="H35" s="120"/>
      <c r="I35" s="120"/>
      <c r="J35" s="120"/>
      <c r="K35" s="120"/>
    </row>
    <row r="36" spans="1:11" x14ac:dyDescent="0.25">
      <c r="A36" s="208"/>
      <c r="B36" s="206"/>
      <c r="C36" s="121"/>
      <c r="D36" s="120"/>
      <c r="E36" s="120"/>
      <c r="F36" s="120"/>
      <c r="G36" s="121"/>
      <c r="H36" s="120"/>
      <c r="I36" s="120"/>
      <c r="J36" s="120"/>
      <c r="K36" s="120"/>
    </row>
    <row r="37" spans="1:11" x14ac:dyDescent="0.25">
      <c r="A37" s="208"/>
      <c r="B37" s="206"/>
      <c r="C37" s="121"/>
      <c r="D37" s="120"/>
      <c r="E37" s="120"/>
      <c r="F37" s="120"/>
      <c r="G37" s="121"/>
      <c r="H37" s="120"/>
      <c r="I37" s="120"/>
      <c r="J37" s="120"/>
      <c r="K37" s="120"/>
    </row>
    <row r="38" spans="1:11" x14ac:dyDescent="0.25">
      <c r="A38" s="208"/>
      <c r="B38" s="206"/>
      <c r="C38" s="121"/>
      <c r="D38" s="120"/>
      <c r="E38" s="120"/>
      <c r="F38" s="120"/>
      <c r="G38" s="121"/>
      <c r="H38" s="120"/>
      <c r="I38" s="120"/>
      <c r="J38" s="120"/>
      <c r="K38" s="120"/>
    </row>
    <row r="39" spans="1:11" x14ac:dyDescent="0.25">
      <c r="A39" s="208"/>
      <c r="B39" s="206"/>
      <c r="C39" s="121"/>
      <c r="D39" s="120"/>
      <c r="E39" s="120"/>
      <c r="F39" s="120"/>
      <c r="G39" s="121"/>
      <c r="H39" s="120"/>
      <c r="I39" s="120"/>
      <c r="J39" s="120"/>
      <c r="K39" s="120"/>
    </row>
    <row r="40" spans="1:11" x14ac:dyDescent="0.25">
      <c r="A40" s="208"/>
      <c r="B40" s="206"/>
      <c r="C40" s="121"/>
      <c r="D40" s="120"/>
      <c r="E40" s="120"/>
      <c r="F40" s="120"/>
      <c r="G40" s="121"/>
      <c r="H40" s="120"/>
      <c r="I40" s="120"/>
      <c r="J40" s="120"/>
      <c r="K40" s="120"/>
    </row>
    <row r="41" spans="1:11" x14ac:dyDescent="0.25">
      <c r="A41" s="208"/>
      <c r="B41" s="206"/>
      <c r="C41" s="121"/>
      <c r="D41" s="120"/>
      <c r="E41" s="120"/>
      <c r="F41" s="120"/>
      <c r="G41" s="121"/>
      <c r="H41" s="120"/>
      <c r="I41" s="120"/>
      <c r="J41" s="120"/>
      <c r="K41" s="120"/>
    </row>
    <row r="42" spans="1:11" x14ac:dyDescent="0.25">
      <c r="A42" s="208"/>
      <c r="B42" s="206"/>
      <c r="C42" s="121"/>
      <c r="D42" s="120"/>
      <c r="E42" s="120"/>
      <c r="F42" s="120"/>
      <c r="G42" s="121"/>
      <c r="H42" s="120"/>
      <c r="I42" s="120"/>
      <c r="J42" s="120"/>
      <c r="K42" s="120"/>
    </row>
    <row r="43" spans="1:11" x14ac:dyDescent="0.25">
      <c r="A43" s="208"/>
      <c r="B43" s="206"/>
      <c r="C43" s="121"/>
      <c r="D43" s="120"/>
      <c r="E43" s="120"/>
      <c r="F43" s="120"/>
      <c r="G43" s="121"/>
      <c r="H43" s="120"/>
      <c r="I43" s="120"/>
      <c r="J43" s="120"/>
      <c r="K43" s="120"/>
    </row>
    <row r="44" spans="1:11" x14ac:dyDescent="0.25">
      <c r="A44" s="208"/>
      <c r="B44" s="206"/>
      <c r="C44" s="121"/>
      <c r="D44" s="120"/>
      <c r="E44" s="120"/>
      <c r="F44" s="120"/>
      <c r="G44" s="121"/>
      <c r="H44" s="120"/>
      <c r="I44" s="120"/>
      <c r="J44" s="120"/>
      <c r="K44" s="120"/>
    </row>
    <row r="45" spans="1:11" x14ac:dyDescent="0.25">
      <c r="A45" s="208"/>
      <c r="B45" s="206"/>
      <c r="C45" s="121"/>
      <c r="D45" s="120"/>
      <c r="E45" s="120"/>
      <c r="F45" s="120"/>
      <c r="G45" s="121"/>
      <c r="H45" s="120"/>
      <c r="I45" s="120"/>
      <c r="J45" s="120"/>
      <c r="K45" s="120"/>
    </row>
    <row r="46" spans="1:11" x14ac:dyDescent="0.25">
      <c r="A46" s="208"/>
      <c r="B46" s="206"/>
      <c r="C46" s="121"/>
      <c r="D46" s="120"/>
      <c r="E46" s="120"/>
      <c r="F46" s="120"/>
      <c r="G46" s="121"/>
      <c r="H46" s="120"/>
      <c r="I46" s="120"/>
      <c r="J46" s="120"/>
      <c r="K46" s="120"/>
    </row>
    <row r="47" spans="1:11" x14ac:dyDescent="0.25">
      <c r="A47" s="208"/>
      <c r="B47" s="206"/>
      <c r="C47" s="121"/>
      <c r="D47" s="120"/>
      <c r="E47" s="120"/>
      <c r="F47" s="120"/>
      <c r="G47" s="121"/>
      <c r="H47" s="120"/>
      <c r="I47" s="120"/>
      <c r="J47" s="120"/>
      <c r="K47" s="120"/>
    </row>
    <row r="48" spans="1:11" x14ac:dyDescent="0.25">
      <c r="A48" s="208"/>
      <c r="B48" s="206"/>
      <c r="C48" s="121"/>
      <c r="D48" s="120"/>
      <c r="E48" s="120"/>
      <c r="F48" s="120"/>
      <c r="G48" s="121"/>
      <c r="H48" s="120"/>
      <c r="I48" s="120"/>
      <c r="J48" s="120"/>
      <c r="K48" s="120"/>
    </row>
    <row r="49" spans="1:11" x14ac:dyDescent="0.25">
      <c r="A49" s="208"/>
      <c r="B49" s="206"/>
      <c r="C49" s="121"/>
      <c r="D49" s="120"/>
      <c r="E49" s="120"/>
      <c r="F49" s="120"/>
      <c r="G49" s="121"/>
      <c r="H49" s="120"/>
      <c r="I49" s="120"/>
      <c r="J49" s="120"/>
      <c r="K49" s="120"/>
    </row>
    <row r="50" spans="1:11" x14ac:dyDescent="0.25">
      <c r="A50" s="208"/>
      <c r="B50" s="206"/>
      <c r="C50" s="121"/>
      <c r="D50" s="120"/>
      <c r="E50" s="120"/>
      <c r="F50" s="120"/>
      <c r="G50" s="121"/>
      <c r="H50" s="120"/>
      <c r="I50" s="120"/>
      <c r="J50" s="120"/>
      <c r="K50" s="120"/>
    </row>
    <row r="51" spans="1:11" x14ac:dyDescent="0.25">
      <c r="A51" s="208"/>
      <c r="B51" s="206"/>
      <c r="C51" s="121"/>
      <c r="D51" s="120"/>
      <c r="E51" s="120"/>
      <c r="F51" s="120"/>
      <c r="G51" s="121"/>
      <c r="H51" s="120"/>
      <c r="I51" s="120"/>
      <c r="J51" s="120"/>
      <c r="K51" s="120"/>
    </row>
    <row r="52" spans="1:11" x14ac:dyDescent="0.25">
      <c r="A52" s="208"/>
      <c r="B52" s="206"/>
      <c r="C52" s="121"/>
      <c r="D52" s="120"/>
      <c r="E52" s="120"/>
      <c r="F52" s="120"/>
      <c r="G52" s="121"/>
      <c r="H52" s="120"/>
      <c r="I52" s="120"/>
      <c r="J52" s="120"/>
      <c r="K52" s="120"/>
    </row>
    <row r="53" spans="1:11" x14ac:dyDescent="0.25">
      <c r="A53" s="208"/>
      <c r="B53" s="206"/>
      <c r="C53" s="121"/>
      <c r="D53" s="120"/>
      <c r="E53" s="120"/>
      <c r="F53" s="120"/>
      <c r="G53" s="121"/>
      <c r="H53" s="120"/>
      <c r="I53" s="120"/>
      <c r="J53" s="120"/>
      <c r="K53" s="120"/>
    </row>
    <row r="54" spans="1:11" x14ac:dyDescent="0.25">
      <c r="A54" s="208"/>
      <c r="B54" s="206"/>
      <c r="C54" s="121"/>
      <c r="D54" s="120"/>
      <c r="E54" s="120"/>
      <c r="F54" s="120"/>
      <c r="G54" s="121"/>
      <c r="H54" s="120"/>
      <c r="I54" s="120"/>
      <c r="J54" s="120"/>
      <c r="K54" s="120"/>
    </row>
    <row r="55" spans="1:11" x14ac:dyDescent="0.25">
      <c r="A55" s="208"/>
      <c r="B55" s="206"/>
      <c r="C55" s="121"/>
      <c r="D55" s="120"/>
      <c r="E55" s="120"/>
      <c r="F55" s="120"/>
      <c r="G55" s="121"/>
      <c r="H55" s="120"/>
      <c r="I55" s="120"/>
      <c r="J55" s="120"/>
      <c r="K55" s="120"/>
    </row>
    <row r="56" spans="1:11" x14ac:dyDescent="0.25">
      <c r="A56" s="208"/>
      <c r="B56" s="206"/>
      <c r="C56" s="121"/>
      <c r="D56" s="120"/>
      <c r="E56" s="120"/>
      <c r="F56" s="120"/>
      <c r="G56" s="121"/>
      <c r="H56" s="120"/>
      <c r="I56" s="120"/>
      <c r="J56" s="120"/>
      <c r="K56" s="120"/>
    </row>
    <row r="57" spans="1:11" x14ac:dyDescent="0.25">
      <c r="A57" s="208"/>
      <c r="B57" s="206"/>
      <c r="C57" s="121"/>
      <c r="D57" s="120"/>
      <c r="E57" s="120"/>
      <c r="F57" s="120"/>
      <c r="G57" s="121"/>
      <c r="H57" s="120"/>
      <c r="I57" s="120"/>
      <c r="J57" s="120"/>
      <c r="K57" s="120"/>
    </row>
    <row r="58" spans="1:11" x14ac:dyDescent="0.25">
      <c r="A58" s="208"/>
      <c r="B58" s="206"/>
      <c r="C58" s="121"/>
      <c r="D58" s="120"/>
      <c r="E58" s="120"/>
      <c r="F58" s="120"/>
      <c r="G58" s="121"/>
      <c r="H58" s="120"/>
      <c r="I58" s="120"/>
      <c r="J58" s="120"/>
      <c r="K58" s="120"/>
    </row>
    <row r="59" spans="1:11" x14ac:dyDescent="0.25">
      <c r="A59" s="208"/>
      <c r="B59" s="206"/>
      <c r="C59" s="121"/>
      <c r="D59" s="120"/>
      <c r="E59" s="120"/>
      <c r="F59" s="120"/>
      <c r="G59" s="121"/>
      <c r="H59" s="120"/>
      <c r="I59" s="120"/>
      <c r="J59" s="120"/>
      <c r="K59" s="120"/>
    </row>
    <row r="60" spans="1:11" x14ac:dyDescent="0.25">
      <c r="A60" s="208"/>
      <c r="B60" s="206"/>
      <c r="C60" s="121"/>
      <c r="D60" s="120"/>
      <c r="E60" s="120"/>
      <c r="F60" s="120"/>
      <c r="G60" s="121"/>
      <c r="H60" s="120"/>
      <c r="I60" s="120"/>
      <c r="J60" s="120"/>
      <c r="K60" s="120"/>
    </row>
    <row r="61" spans="1:11" x14ac:dyDescent="0.25">
      <c r="A61" s="208"/>
      <c r="B61" s="206"/>
      <c r="C61" s="121"/>
      <c r="D61" s="120"/>
      <c r="E61" s="120"/>
      <c r="F61" s="120"/>
      <c r="G61" s="121"/>
      <c r="H61" s="120"/>
      <c r="I61" s="120"/>
      <c r="J61" s="120"/>
      <c r="K61" s="120"/>
    </row>
    <row r="62" spans="1:11" x14ac:dyDescent="0.25">
      <c r="A62" s="208"/>
      <c r="B62" s="206"/>
      <c r="C62" s="121"/>
      <c r="D62" s="120"/>
      <c r="E62" s="120"/>
      <c r="F62" s="120"/>
      <c r="G62" s="121"/>
      <c r="H62" s="120"/>
      <c r="I62" s="120"/>
      <c r="J62" s="120"/>
      <c r="K62" s="120"/>
    </row>
    <row r="63" spans="1:11" x14ac:dyDescent="0.25">
      <c r="A63" s="208"/>
      <c r="B63" s="206"/>
      <c r="C63" s="121"/>
      <c r="D63" s="120"/>
      <c r="E63" s="120"/>
      <c r="F63" s="120"/>
      <c r="G63" s="121"/>
      <c r="H63" s="120"/>
      <c r="I63" s="120"/>
      <c r="J63" s="120"/>
      <c r="K63" s="120"/>
    </row>
    <row r="64" spans="1:11" x14ac:dyDescent="0.25">
      <c r="A64" s="208"/>
      <c r="B64" s="206"/>
      <c r="C64" s="121"/>
      <c r="D64" s="120"/>
      <c r="E64" s="120"/>
      <c r="F64" s="120"/>
      <c r="G64" s="121"/>
      <c r="H64" s="120"/>
      <c r="I64" s="120"/>
      <c r="J64" s="120"/>
      <c r="K64" s="120"/>
    </row>
    <row r="65" spans="1:11" x14ac:dyDescent="0.25">
      <c r="A65" s="208"/>
      <c r="B65" s="206"/>
      <c r="C65" s="121"/>
      <c r="D65" s="120"/>
      <c r="E65" s="120"/>
      <c r="F65" s="120"/>
      <c r="G65" s="121"/>
      <c r="H65" s="120"/>
      <c r="I65" s="120"/>
      <c r="J65" s="120"/>
      <c r="K65" s="120"/>
    </row>
    <row r="66" spans="1:11" x14ac:dyDescent="0.25">
      <c r="A66" s="208"/>
      <c r="B66" s="206"/>
      <c r="C66" s="121"/>
      <c r="D66" s="120"/>
      <c r="E66" s="120"/>
      <c r="F66" s="120"/>
      <c r="G66" s="121"/>
      <c r="H66" s="120"/>
      <c r="I66" s="120"/>
      <c r="J66" s="120"/>
      <c r="K66" s="120"/>
    </row>
    <row r="67" spans="1:11" x14ac:dyDescent="0.25">
      <c r="A67" s="208"/>
      <c r="B67" s="206"/>
      <c r="C67" s="121"/>
      <c r="D67" s="120"/>
      <c r="E67" s="120"/>
      <c r="F67" s="120"/>
      <c r="G67" s="121"/>
      <c r="H67" s="120"/>
      <c r="I67" s="120"/>
      <c r="J67" s="120"/>
      <c r="K67" s="120"/>
    </row>
    <row r="68" spans="1:11" x14ac:dyDescent="0.25">
      <c r="A68" s="208"/>
      <c r="B68" s="206"/>
      <c r="C68" s="121"/>
      <c r="D68" s="120"/>
      <c r="E68" s="120"/>
      <c r="F68" s="120"/>
      <c r="G68" s="121"/>
      <c r="H68" s="120"/>
      <c r="I68" s="120"/>
      <c r="J68" s="120"/>
      <c r="K68" s="120"/>
    </row>
    <row r="69" spans="1:11" x14ac:dyDescent="0.25">
      <c r="A69" s="208"/>
      <c r="B69" s="206"/>
      <c r="C69" s="121"/>
      <c r="D69" s="120"/>
      <c r="E69" s="120"/>
      <c r="F69" s="120"/>
      <c r="G69" s="121"/>
      <c r="H69" s="120"/>
      <c r="I69" s="120"/>
      <c r="J69" s="120"/>
      <c r="K69" s="120"/>
    </row>
    <row r="70" spans="1:11" x14ac:dyDescent="0.25">
      <c r="A70" s="208"/>
      <c r="B70" s="206"/>
      <c r="C70" s="121"/>
      <c r="D70" s="120"/>
      <c r="E70" s="120"/>
      <c r="F70" s="120"/>
      <c r="G70" s="121"/>
      <c r="H70" s="120"/>
      <c r="I70" s="120"/>
      <c r="J70" s="120"/>
      <c r="K70" s="120"/>
    </row>
    <row r="71" spans="1:11" x14ac:dyDescent="0.25">
      <c r="A71" s="208"/>
      <c r="B71" s="206"/>
      <c r="C71" s="121"/>
      <c r="D71" s="120"/>
      <c r="E71" s="120"/>
      <c r="F71" s="120"/>
      <c r="G71" s="121"/>
      <c r="H71" s="120"/>
      <c r="I71" s="120"/>
      <c r="J71" s="120"/>
      <c r="K71" s="120"/>
    </row>
    <row r="72" spans="1:11" x14ac:dyDescent="0.25">
      <c r="A72" s="208"/>
      <c r="B72" s="206"/>
      <c r="C72" s="121"/>
      <c r="D72" s="120"/>
      <c r="E72" s="120"/>
      <c r="F72" s="120"/>
      <c r="G72" s="121"/>
      <c r="H72" s="120"/>
      <c r="I72" s="120"/>
      <c r="J72" s="120"/>
      <c r="K72" s="120"/>
    </row>
    <row r="73" spans="1:11" x14ac:dyDescent="0.25">
      <c r="A73" s="208"/>
      <c r="B73" s="206"/>
      <c r="C73" s="121"/>
      <c r="D73" s="120"/>
      <c r="E73" s="120"/>
      <c r="F73" s="120"/>
      <c r="G73" s="121"/>
      <c r="H73" s="120"/>
      <c r="I73" s="120"/>
      <c r="J73" s="120"/>
      <c r="K73" s="120"/>
    </row>
    <row r="74" spans="1:11" x14ac:dyDescent="0.25">
      <c r="A74" s="208"/>
      <c r="B74" s="206"/>
      <c r="C74" s="121"/>
      <c r="D74" s="120"/>
      <c r="E74" s="120"/>
      <c r="F74" s="120"/>
      <c r="G74" s="121"/>
      <c r="H74" s="120"/>
      <c r="I74" s="120"/>
      <c r="J74" s="120"/>
      <c r="K74" s="120"/>
    </row>
    <row r="75" spans="1:11" x14ac:dyDescent="0.25">
      <c r="A75" s="208"/>
      <c r="B75" s="206"/>
      <c r="C75" s="121"/>
      <c r="D75" s="120"/>
      <c r="E75" s="120"/>
      <c r="F75" s="120"/>
      <c r="G75" s="121"/>
      <c r="H75" s="120"/>
      <c r="I75" s="120"/>
      <c r="J75" s="120"/>
      <c r="K75" s="120"/>
    </row>
    <row r="76" spans="1:11" x14ac:dyDescent="0.25">
      <c r="A76" s="208"/>
      <c r="B76" s="206"/>
      <c r="C76" s="121"/>
      <c r="D76" s="120"/>
      <c r="E76" s="120"/>
      <c r="F76" s="120"/>
      <c r="G76" s="121"/>
      <c r="H76" s="120"/>
      <c r="I76" s="120"/>
      <c r="J76" s="120"/>
      <c r="K76" s="120"/>
    </row>
    <row r="77" spans="1:11" x14ac:dyDescent="0.25">
      <c r="A77" s="208"/>
      <c r="B77" s="206"/>
      <c r="C77" s="121"/>
      <c r="D77" s="120"/>
      <c r="E77" s="120"/>
      <c r="F77" s="120"/>
      <c r="G77" s="121"/>
      <c r="H77" s="120"/>
      <c r="I77" s="120"/>
      <c r="J77" s="120"/>
      <c r="K77" s="120"/>
    </row>
    <row r="78" spans="1:11" x14ac:dyDescent="0.25">
      <c r="A78" s="208"/>
      <c r="B78" s="206"/>
      <c r="C78" s="121"/>
      <c r="D78" s="120"/>
      <c r="E78" s="120"/>
      <c r="F78" s="120"/>
      <c r="G78" s="121"/>
      <c r="H78" s="120"/>
      <c r="I78" s="120"/>
      <c r="J78" s="120"/>
      <c r="K78" s="120"/>
    </row>
    <row r="79" spans="1:11" x14ac:dyDescent="0.25">
      <c r="A79" s="208"/>
      <c r="B79" s="206"/>
      <c r="C79" s="121"/>
      <c r="D79" s="120"/>
      <c r="E79" s="120"/>
      <c r="F79" s="120"/>
      <c r="G79" s="121"/>
      <c r="H79" s="120"/>
      <c r="I79" s="120"/>
      <c r="J79" s="120"/>
      <c r="K79" s="120"/>
    </row>
    <row r="80" spans="1:11" x14ac:dyDescent="0.25">
      <c r="A80" s="208"/>
      <c r="B80" s="206"/>
      <c r="C80" s="121"/>
      <c r="D80" s="120"/>
      <c r="E80" s="120"/>
      <c r="F80" s="120"/>
      <c r="G80" s="121"/>
      <c r="H80" s="120"/>
      <c r="I80" s="120"/>
      <c r="J80" s="120"/>
      <c r="K80" s="120"/>
    </row>
    <row r="81" spans="1:11" x14ac:dyDescent="0.25">
      <c r="A81" s="208"/>
      <c r="B81" s="206"/>
      <c r="C81" s="121"/>
      <c r="D81" s="120"/>
      <c r="E81" s="120"/>
      <c r="F81" s="120"/>
      <c r="G81" s="121"/>
      <c r="H81" s="120"/>
      <c r="I81" s="120"/>
      <c r="J81" s="120"/>
      <c r="K81" s="120"/>
    </row>
    <row r="82" spans="1:11" x14ac:dyDescent="0.25">
      <c r="A82" s="208"/>
      <c r="B82" s="206"/>
      <c r="C82" s="121"/>
      <c r="D82" s="120"/>
      <c r="E82" s="120"/>
      <c r="F82" s="120"/>
      <c r="G82" s="121"/>
      <c r="H82" s="120"/>
      <c r="I82" s="120"/>
      <c r="J82" s="120"/>
      <c r="K82" s="120"/>
    </row>
    <row r="83" spans="1:11" x14ac:dyDescent="0.25">
      <c r="A83" s="208"/>
      <c r="B83" s="206"/>
      <c r="C83" s="121"/>
      <c r="D83" s="120"/>
      <c r="E83" s="120"/>
      <c r="F83" s="120"/>
      <c r="G83" s="121"/>
      <c r="H83" s="120"/>
      <c r="I83" s="120"/>
      <c r="J83" s="120"/>
      <c r="K83" s="120"/>
    </row>
    <row r="84" spans="1:11" x14ac:dyDescent="0.25">
      <c r="A84" s="208"/>
      <c r="B84" s="206"/>
      <c r="C84" s="121"/>
      <c r="D84" s="120"/>
      <c r="E84" s="120"/>
      <c r="F84" s="120"/>
      <c r="G84" s="121"/>
      <c r="H84" s="120"/>
      <c r="I84" s="120"/>
      <c r="J84" s="120"/>
      <c r="K84" s="120"/>
    </row>
    <row r="85" spans="1:11" x14ac:dyDescent="0.25">
      <c r="A85" s="208"/>
      <c r="B85" s="206"/>
      <c r="C85" s="121"/>
      <c r="D85" s="120"/>
      <c r="E85" s="120"/>
      <c r="F85" s="120"/>
      <c r="G85" s="121"/>
      <c r="H85" s="120"/>
      <c r="I85" s="120"/>
      <c r="J85" s="120"/>
      <c r="K85" s="120"/>
    </row>
    <row r="86" spans="1:11" x14ac:dyDescent="0.25">
      <c r="A86" s="208"/>
      <c r="B86" s="206"/>
      <c r="C86" s="121"/>
      <c r="D86" s="120"/>
      <c r="E86" s="120"/>
      <c r="F86" s="120"/>
      <c r="G86" s="121"/>
      <c r="H86" s="120"/>
      <c r="I86" s="120"/>
      <c r="J86" s="120"/>
      <c r="K86" s="120"/>
    </row>
    <row r="87" spans="1:11" x14ac:dyDescent="0.25">
      <c r="A87" s="208"/>
      <c r="B87" s="206"/>
      <c r="C87" s="121"/>
      <c r="D87" s="120"/>
      <c r="E87" s="120"/>
      <c r="F87" s="120"/>
      <c r="G87" s="121"/>
      <c r="H87" s="120"/>
      <c r="I87" s="120"/>
      <c r="J87" s="120"/>
      <c r="K87" s="120"/>
    </row>
    <row r="88" spans="1:11" x14ac:dyDescent="0.25">
      <c r="A88" s="208"/>
      <c r="B88" s="206"/>
      <c r="C88" s="121"/>
      <c r="D88" s="120"/>
      <c r="E88" s="120"/>
      <c r="F88" s="120"/>
      <c r="G88" s="121"/>
      <c r="H88" s="120"/>
      <c r="I88" s="120"/>
      <c r="J88" s="120"/>
      <c r="K88" s="120"/>
    </row>
    <row r="89" spans="1:11" x14ac:dyDescent="0.25">
      <c r="A89" s="208"/>
      <c r="B89" s="206"/>
      <c r="C89" s="121"/>
      <c r="D89" s="120"/>
      <c r="E89" s="120"/>
      <c r="F89" s="120"/>
      <c r="G89" s="121"/>
      <c r="H89" s="120"/>
      <c r="I89" s="120"/>
      <c r="J89" s="120"/>
      <c r="K89" s="120"/>
    </row>
    <row r="90" spans="1:11" x14ac:dyDescent="0.25">
      <c r="A90" s="208"/>
      <c r="B90" s="206"/>
      <c r="C90" s="121"/>
      <c r="D90" s="120"/>
      <c r="E90" s="120"/>
      <c r="F90" s="120"/>
      <c r="G90" s="121"/>
      <c r="H90" s="120"/>
      <c r="I90" s="120"/>
      <c r="J90" s="120"/>
      <c r="K90" s="120"/>
    </row>
    <row r="91" spans="1:11" x14ac:dyDescent="0.25">
      <c r="A91" s="208"/>
      <c r="B91" s="206"/>
      <c r="C91" s="121"/>
      <c r="D91" s="120"/>
      <c r="E91" s="120"/>
      <c r="F91" s="120"/>
      <c r="G91" s="121"/>
      <c r="H91" s="120"/>
      <c r="I91" s="120"/>
      <c r="J91" s="120"/>
      <c r="K91" s="120"/>
    </row>
    <row r="92" spans="1:11" x14ac:dyDescent="0.25">
      <c r="A92" s="208"/>
      <c r="B92" s="206"/>
      <c r="C92" s="121"/>
      <c r="D92" s="120"/>
      <c r="E92" s="120"/>
      <c r="F92" s="120"/>
      <c r="G92" s="121"/>
      <c r="H92" s="120"/>
      <c r="I92" s="120"/>
      <c r="J92" s="120"/>
      <c r="K92" s="120"/>
    </row>
    <row r="93" spans="1:11" x14ac:dyDescent="0.25">
      <c r="A93" s="208"/>
      <c r="B93" s="206"/>
      <c r="C93" s="121"/>
      <c r="D93" s="120"/>
      <c r="E93" s="120"/>
      <c r="F93" s="120"/>
      <c r="G93" s="121"/>
      <c r="H93" s="120"/>
      <c r="I93" s="120"/>
      <c r="J93" s="120"/>
      <c r="K93" s="120"/>
    </row>
    <row r="94" spans="1:11" x14ac:dyDescent="0.25">
      <c r="A94" s="208"/>
      <c r="B94" s="206"/>
      <c r="C94" s="121"/>
      <c r="D94" s="120"/>
      <c r="E94" s="120"/>
      <c r="F94" s="120"/>
      <c r="G94" s="121"/>
      <c r="H94" s="120"/>
      <c r="I94" s="120"/>
      <c r="J94" s="120"/>
      <c r="K94" s="120"/>
    </row>
    <row r="95" spans="1:11" x14ac:dyDescent="0.25">
      <c r="A95" s="208"/>
      <c r="B95" s="206"/>
      <c r="C95" s="121"/>
      <c r="D95" s="120"/>
      <c r="E95" s="120"/>
      <c r="F95" s="120"/>
      <c r="G95" s="121"/>
      <c r="H95" s="120"/>
      <c r="I95" s="120"/>
      <c r="J95" s="120"/>
      <c r="K95" s="120"/>
    </row>
    <row r="96" spans="1:11" x14ac:dyDescent="0.25">
      <c r="A96" s="208"/>
      <c r="B96" s="206"/>
      <c r="C96" s="121"/>
      <c r="D96" s="120"/>
      <c r="E96" s="120"/>
      <c r="F96" s="120"/>
      <c r="G96" s="121"/>
      <c r="H96" s="120"/>
      <c r="I96" s="120"/>
      <c r="J96" s="120"/>
      <c r="K96" s="120"/>
    </row>
    <row r="97" spans="1:11" x14ac:dyDescent="0.25">
      <c r="A97" s="208"/>
      <c r="B97" s="206"/>
      <c r="C97" s="121"/>
      <c r="D97" s="120"/>
      <c r="E97" s="120"/>
      <c r="F97" s="120"/>
      <c r="G97" s="121"/>
      <c r="H97" s="120"/>
      <c r="I97" s="120"/>
      <c r="J97" s="120"/>
      <c r="K97" s="120"/>
    </row>
    <row r="98" spans="1:11" x14ac:dyDescent="0.25">
      <c r="A98" s="208"/>
      <c r="B98" s="206"/>
      <c r="C98" s="121"/>
      <c r="D98" s="120"/>
      <c r="E98" s="120"/>
      <c r="F98" s="120"/>
      <c r="G98" s="121"/>
      <c r="H98" s="120"/>
      <c r="I98" s="120"/>
      <c r="J98" s="120"/>
      <c r="K98" s="120"/>
    </row>
    <row r="99" spans="1:11" x14ac:dyDescent="0.25">
      <c r="A99" s="208"/>
      <c r="B99" s="206"/>
      <c r="C99" s="121"/>
      <c r="D99" s="120"/>
      <c r="E99" s="120"/>
      <c r="F99" s="120"/>
      <c r="G99" s="121"/>
      <c r="H99" s="120"/>
      <c r="I99" s="120"/>
      <c r="J99" s="120"/>
      <c r="K99" s="120"/>
    </row>
    <row r="100" spans="1:11" x14ac:dyDescent="0.25">
      <c r="A100" s="208"/>
      <c r="B100" s="206"/>
      <c r="C100" s="121"/>
      <c r="D100" s="120"/>
      <c r="E100" s="120"/>
      <c r="F100" s="120"/>
      <c r="G100" s="121"/>
      <c r="H100" s="120"/>
      <c r="I100" s="120"/>
      <c r="J100" s="120"/>
      <c r="K100" s="120"/>
    </row>
  </sheetData>
  <sheetProtection sheet="1" selectLockedCells="1" autoFilter="0"/>
  <autoFilter ref="A1:K100" xr:uid="{00000000-0009-0000-0000-000008000000}"/>
  <customSheetViews>
    <customSheetView guid="{DDFF3EBC-2CED-4439-A844-7B6A9C88C75C}" showAutoFilter="1">
      <selection activeCell="B2" sqref="B2"/>
      <pageMargins left="0.7" right="0.7" top="0.75" bottom="0.75" header="0.3" footer="0.3"/>
      <pageSetup orientation="portrait" horizontalDpi="1200" verticalDpi="1200" r:id="rId1"/>
      <autoFilter ref="A1:K100" xr:uid="{FB869C7E-2789-41B5-AF0B-4A0AE301F521}"/>
    </customSheetView>
    <customSheetView guid="{B51176BD-3A7B-4ED1-B67D-463289B65E73}" showAutoFilter="1">
      <selection activeCell="B2" sqref="B2"/>
      <pageMargins left="0.7" right="0.7" top="0.75" bottom="0.75" header="0.3" footer="0.3"/>
      <pageSetup orientation="portrait" horizontalDpi="1200" verticalDpi="1200" r:id="rId2"/>
      <autoFilter ref="A1:K100" xr:uid="{6D00B620-7518-4BAB-9436-F78377F04D56}"/>
    </customSheetView>
  </customSheetViews>
  <mergeCells count="9">
    <mergeCell ref="M4:N4"/>
    <mergeCell ref="P4:Q4"/>
    <mergeCell ref="M10:N10"/>
    <mergeCell ref="P10:Q10"/>
    <mergeCell ref="M1:N1"/>
    <mergeCell ref="P1:Q1"/>
    <mergeCell ref="M2:N2"/>
    <mergeCell ref="P2:Q2"/>
    <mergeCell ref="M3:Q3"/>
  </mergeCells>
  <conditionalFormatting sqref="N9 Q9">
    <cfRule type="cellIs" dxfId="4" priority="2" operator="equal">
      <formula>"$E$100"</formula>
    </cfRule>
  </conditionalFormatting>
  <conditionalFormatting sqref="P2:Q2">
    <cfRule type="containsBlanks" dxfId="3" priority="1">
      <formula>LEN(TRIM(P2))=0</formula>
    </cfRule>
  </conditionalFormatting>
  <pageMargins left="0.7" right="0.7" top="0.75" bottom="0.75" header="0.3" footer="0.3"/>
  <pageSetup orientation="portrait" horizontalDpi="1200" verticalDpi="120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115BC-19D1-4821-8223-98BB918A875A}">
  <sheetPr>
    <tabColor rgb="FF00B050"/>
  </sheetPr>
  <dimension ref="A1:E42"/>
  <sheetViews>
    <sheetView topLeftCell="A6" workbookViewId="0">
      <selection activeCell="H23" sqref="H23"/>
    </sheetView>
  </sheetViews>
  <sheetFormatPr defaultRowHeight="15" x14ac:dyDescent="0.25"/>
  <cols>
    <col min="2" max="2" width="16.5703125" customWidth="1"/>
  </cols>
  <sheetData>
    <row r="1" spans="1:5" x14ac:dyDescent="0.25">
      <c r="A1" t="s">
        <v>281</v>
      </c>
      <c r="B1" t="s">
        <v>304</v>
      </c>
      <c r="D1" t="s">
        <v>305</v>
      </c>
      <c r="E1" t="s">
        <v>47</v>
      </c>
    </row>
    <row r="2" spans="1:5" x14ac:dyDescent="0.25">
      <c r="A2" t="s">
        <v>306</v>
      </c>
      <c r="B2" t="s">
        <v>304</v>
      </c>
      <c r="D2" t="s">
        <v>305</v>
      </c>
      <c r="E2" t="s">
        <v>48</v>
      </c>
    </row>
    <row r="3" spans="1:5" x14ac:dyDescent="0.25">
      <c r="A3" t="s">
        <v>274</v>
      </c>
      <c r="B3" t="s">
        <v>304</v>
      </c>
      <c r="D3" t="s">
        <v>305</v>
      </c>
      <c r="E3" t="s">
        <v>128</v>
      </c>
    </row>
    <row r="4" spans="1:5" x14ac:dyDescent="0.25">
      <c r="A4" t="s">
        <v>275</v>
      </c>
      <c r="B4" t="s">
        <v>304</v>
      </c>
      <c r="D4" t="s">
        <v>305</v>
      </c>
      <c r="E4" t="s">
        <v>273</v>
      </c>
    </row>
    <row r="5" spans="1:5" x14ac:dyDescent="0.25">
      <c r="A5" t="s">
        <v>276</v>
      </c>
      <c r="B5" t="s">
        <v>304</v>
      </c>
      <c r="D5" t="s">
        <v>305</v>
      </c>
      <c r="E5" t="s">
        <v>50</v>
      </c>
    </row>
    <row r="6" spans="1:5" x14ac:dyDescent="0.25">
      <c r="A6" t="s">
        <v>125</v>
      </c>
      <c r="B6" t="s">
        <v>94</v>
      </c>
      <c r="D6" t="s">
        <v>94</v>
      </c>
      <c r="E6" t="s">
        <v>125</v>
      </c>
    </row>
    <row r="7" spans="1:5" x14ac:dyDescent="0.25">
      <c r="A7" t="s">
        <v>285</v>
      </c>
      <c r="B7" t="s">
        <v>94</v>
      </c>
      <c r="D7" t="s">
        <v>94</v>
      </c>
      <c r="E7" t="s">
        <v>285</v>
      </c>
    </row>
    <row r="8" spans="1:5" x14ac:dyDescent="0.25">
      <c r="A8" t="s">
        <v>126</v>
      </c>
      <c r="B8" t="s">
        <v>304</v>
      </c>
      <c r="D8" t="s">
        <v>94</v>
      </c>
      <c r="E8" t="s">
        <v>183</v>
      </c>
    </row>
    <row r="9" spans="1:5" x14ac:dyDescent="0.25">
      <c r="A9" t="s">
        <v>183</v>
      </c>
      <c r="B9" t="s">
        <v>94</v>
      </c>
      <c r="D9" t="s">
        <v>94</v>
      </c>
      <c r="E9" t="s">
        <v>286</v>
      </c>
    </row>
    <row r="10" spans="1:5" x14ac:dyDescent="0.25">
      <c r="A10" t="s">
        <v>286</v>
      </c>
      <c r="B10" t="s">
        <v>94</v>
      </c>
      <c r="D10" t="s">
        <v>94</v>
      </c>
      <c r="E10" t="s">
        <v>283</v>
      </c>
    </row>
    <row r="11" spans="1:5" x14ac:dyDescent="0.25">
      <c r="A11" t="s">
        <v>277</v>
      </c>
      <c r="B11" t="s">
        <v>304</v>
      </c>
      <c r="D11" t="s">
        <v>94</v>
      </c>
      <c r="E11" t="s">
        <v>284</v>
      </c>
    </row>
    <row r="12" spans="1:5" x14ac:dyDescent="0.25">
      <c r="A12" t="s">
        <v>278</v>
      </c>
      <c r="B12" t="s">
        <v>304</v>
      </c>
      <c r="D12" t="s">
        <v>94</v>
      </c>
      <c r="E12" t="s">
        <v>184</v>
      </c>
    </row>
    <row r="13" spans="1:5" x14ac:dyDescent="0.25">
      <c r="A13" t="s">
        <v>283</v>
      </c>
      <c r="B13" t="s">
        <v>94</v>
      </c>
      <c r="D13" t="s">
        <v>94</v>
      </c>
      <c r="E13" t="s">
        <v>217</v>
      </c>
    </row>
    <row r="14" spans="1:5" x14ac:dyDescent="0.25">
      <c r="A14" t="s">
        <v>284</v>
      </c>
      <c r="B14" t="s">
        <v>94</v>
      </c>
      <c r="D14" t="s">
        <v>94</v>
      </c>
      <c r="E14" t="s">
        <v>127</v>
      </c>
    </row>
    <row r="15" spans="1:5" x14ac:dyDescent="0.25">
      <c r="A15" t="s">
        <v>184</v>
      </c>
      <c r="B15" t="s">
        <v>94</v>
      </c>
      <c r="D15" t="s">
        <v>304</v>
      </c>
      <c r="E15" t="s">
        <v>281</v>
      </c>
    </row>
    <row r="16" spans="1:5" x14ac:dyDescent="0.25">
      <c r="A16" t="s">
        <v>217</v>
      </c>
      <c r="B16" t="s">
        <v>94</v>
      </c>
      <c r="D16" t="s">
        <v>304</v>
      </c>
      <c r="E16" t="s">
        <v>306</v>
      </c>
    </row>
    <row r="17" spans="1:5" x14ac:dyDescent="0.25">
      <c r="A17" t="s">
        <v>127</v>
      </c>
      <c r="B17" t="s">
        <v>94</v>
      </c>
      <c r="D17" t="s">
        <v>304</v>
      </c>
      <c r="E17" t="s">
        <v>274</v>
      </c>
    </row>
    <row r="18" spans="1:5" x14ac:dyDescent="0.25">
      <c r="A18" t="s">
        <v>279</v>
      </c>
      <c r="B18" t="s">
        <v>304</v>
      </c>
      <c r="D18" t="s">
        <v>304</v>
      </c>
      <c r="E18" t="s">
        <v>275</v>
      </c>
    </row>
    <row r="19" spans="1:5" x14ac:dyDescent="0.25">
      <c r="A19" t="s">
        <v>280</v>
      </c>
      <c r="B19" t="s">
        <v>304</v>
      </c>
      <c r="D19" t="s">
        <v>304</v>
      </c>
      <c r="E19" t="s">
        <v>276</v>
      </c>
    </row>
    <row r="20" spans="1:5" x14ac:dyDescent="0.25">
      <c r="A20" t="s">
        <v>51</v>
      </c>
      <c r="B20" t="s">
        <v>304</v>
      </c>
      <c r="D20" t="s">
        <v>304</v>
      </c>
      <c r="E20" t="s">
        <v>126</v>
      </c>
    </row>
    <row r="21" spans="1:5" x14ac:dyDescent="0.25">
      <c r="A21" t="s">
        <v>282</v>
      </c>
      <c r="B21" t="s">
        <v>304</v>
      </c>
      <c r="D21" t="s">
        <v>304</v>
      </c>
      <c r="E21" t="s">
        <v>277</v>
      </c>
    </row>
    <row r="22" spans="1:5" x14ac:dyDescent="0.25">
      <c r="A22" t="s">
        <v>47</v>
      </c>
      <c r="B22" t="s">
        <v>305</v>
      </c>
      <c r="D22" t="s">
        <v>304</v>
      </c>
      <c r="E22" t="s">
        <v>278</v>
      </c>
    </row>
    <row r="23" spans="1:5" x14ac:dyDescent="0.25">
      <c r="A23" t="s">
        <v>48</v>
      </c>
      <c r="B23" t="s">
        <v>305</v>
      </c>
      <c r="D23" t="s">
        <v>304</v>
      </c>
      <c r="E23" t="s">
        <v>279</v>
      </c>
    </row>
    <row r="24" spans="1:5" x14ac:dyDescent="0.25">
      <c r="A24" t="s">
        <v>128</v>
      </c>
      <c r="B24" t="s">
        <v>305</v>
      </c>
      <c r="D24" t="s">
        <v>304</v>
      </c>
      <c r="E24" t="s">
        <v>280</v>
      </c>
    </row>
    <row r="25" spans="1:5" x14ac:dyDescent="0.25">
      <c r="A25" t="s">
        <v>273</v>
      </c>
      <c r="B25" t="s">
        <v>305</v>
      </c>
      <c r="D25" t="s">
        <v>304</v>
      </c>
      <c r="E25" t="s">
        <v>51</v>
      </c>
    </row>
    <row r="26" spans="1:5" x14ac:dyDescent="0.25">
      <c r="A26" t="s">
        <v>200</v>
      </c>
      <c r="B26" t="s">
        <v>308</v>
      </c>
      <c r="D26" t="s">
        <v>304</v>
      </c>
      <c r="E26" t="s">
        <v>282</v>
      </c>
    </row>
    <row r="27" spans="1:5" x14ac:dyDescent="0.25">
      <c r="A27" t="s">
        <v>290</v>
      </c>
      <c r="B27" t="s">
        <v>308</v>
      </c>
      <c r="D27" t="s">
        <v>307</v>
      </c>
      <c r="E27" t="s">
        <v>287</v>
      </c>
    </row>
    <row r="28" spans="1:5" x14ac:dyDescent="0.25">
      <c r="A28" t="s">
        <v>129</v>
      </c>
      <c r="B28" t="s">
        <v>309</v>
      </c>
      <c r="D28" t="s">
        <v>307</v>
      </c>
      <c r="E28" t="s">
        <v>49</v>
      </c>
    </row>
    <row r="29" spans="1:5" x14ac:dyDescent="0.25">
      <c r="A29" t="s">
        <v>293</v>
      </c>
      <c r="B29" t="s">
        <v>309</v>
      </c>
      <c r="D29" t="s">
        <v>307</v>
      </c>
      <c r="E29" t="s">
        <v>288</v>
      </c>
    </row>
    <row r="30" spans="1:5" x14ac:dyDescent="0.25">
      <c r="A30" t="s">
        <v>289</v>
      </c>
      <c r="B30" t="s">
        <v>308</v>
      </c>
      <c r="D30" t="s">
        <v>309</v>
      </c>
      <c r="E30" t="s">
        <v>129</v>
      </c>
    </row>
    <row r="31" spans="1:5" x14ac:dyDescent="0.25">
      <c r="A31" t="s">
        <v>291</v>
      </c>
      <c r="B31" t="s">
        <v>308</v>
      </c>
      <c r="D31" t="s">
        <v>309</v>
      </c>
      <c r="E31" t="s">
        <v>293</v>
      </c>
    </row>
    <row r="32" spans="1:5" x14ac:dyDescent="0.25">
      <c r="A32" t="s">
        <v>292</v>
      </c>
      <c r="B32" t="s">
        <v>308</v>
      </c>
      <c r="D32" t="s">
        <v>309</v>
      </c>
      <c r="E32" t="s">
        <v>130</v>
      </c>
    </row>
    <row r="33" spans="1:5" x14ac:dyDescent="0.25">
      <c r="A33" t="s">
        <v>130</v>
      </c>
      <c r="B33" t="s">
        <v>309</v>
      </c>
      <c r="D33" t="s">
        <v>309</v>
      </c>
      <c r="E33" t="s">
        <v>294</v>
      </c>
    </row>
    <row r="34" spans="1:5" x14ac:dyDescent="0.25">
      <c r="A34" t="s">
        <v>294</v>
      </c>
      <c r="B34" t="s">
        <v>309</v>
      </c>
      <c r="D34" t="s">
        <v>309</v>
      </c>
      <c r="E34" t="s">
        <v>131</v>
      </c>
    </row>
    <row r="35" spans="1:5" x14ac:dyDescent="0.25">
      <c r="A35" t="s">
        <v>131</v>
      </c>
      <c r="B35" t="s">
        <v>309</v>
      </c>
      <c r="D35" t="s">
        <v>309</v>
      </c>
      <c r="E35" t="s">
        <v>295</v>
      </c>
    </row>
    <row r="36" spans="1:5" x14ac:dyDescent="0.25">
      <c r="A36" t="s">
        <v>295</v>
      </c>
      <c r="B36" t="s">
        <v>309</v>
      </c>
      <c r="D36" t="s">
        <v>309</v>
      </c>
      <c r="E36" t="s">
        <v>132</v>
      </c>
    </row>
    <row r="37" spans="1:5" x14ac:dyDescent="0.25">
      <c r="A37" t="s">
        <v>287</v>
      </c>
      <c r="B37" t="s">
        <v>307</v>
      </c>
      <c r="D37" t="s">
        <v>309</v>
      </c>
      <c r="E37" t="s">
        <v>296</v>
      </c>
    </row>
    <row r="38" spans="1:5" x14ac:dyDescent="0.25">
      <c r="A38" t="s">
        <v>132</v>
      </c>
      <c r="B38" t="s">
        <v>309</v>
      </c>
      <c r="D38" t="s">
        <v>308</v>
      </c>
      <c r="E38" t="s">
        <v>200</v>
      </c>
    </row>
    <row r="39" spans="1:5" x14ac:dyDescent="0.25">
      <c r="A39" t="s">
        <v>296</v>
      </c>
      <c r="B39" t="s">
        <v>309</v>
      </c>
      <c r="D39" t="s">
        <v>308</v>
      </c>
      <c r="E39" t="s">
        <v>290</v>
      </c>
    </row>
    <row r="40" spans="1:5" x14ac:dyDescent="0.25">
      <c r="A40" t="s">
        <v>49</v>
      </c>
      <c r="B40" t="s">
        <v>307</v>
      </c>
      <c r="D40" t="s">
        <v>308</v>
      </c>
      <c r="E40" t="s">
        <v>289</v>
      </c>
    </row>
    <row r="41" spans="1:5" x14ac:dyDescent="0.25">
      <c r="A41" t="s">
        <v>288</v>
      </c>
      <c r="B41" t="s">
        <v>307</v>
      </c>
      <c r="D41" t="s">
        <v>308</v>
      </c>
      <c r="E41" t="s">
        <v>291</v>
      </c>
    </row>
    <row r="42" spans="1:5" x14ac:dyDescent="0.25">
      <c r="A42" t="s">
        <v>50</v>
      </c>
      <c r="B42" t="s">
        <v>305</v>
      </c>
      <c r="D42" t="s">
        <v>308</v>
      </c>
      <c r="E42" t="s">
        <v>292</v>
      </c>
    </row>
  </sheetData>
  <sortState xmlns:xlrd2="http://schemas.microsoft.com/office/spreadsheetml/2017/richdata2" ref="D1:E42">
    <sortCondition ref="D1:D4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0B4E20087EAB4594162C2248AC3B73" ma:contentTypeVersion="1" ma:contentTypeDescription="Create a new document." ma:contentTypeScope="" ma:versionID="06a9f9b97135b315c888a0735ef426f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39B254-3263-4D2D-940E-B3E543D3CAC0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5AE25B4-0A47-4B84-BFEF-25B437A4AC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2BF4D6-B406-4DA6-9DD5-557EFF1FE3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88</vt:i4>
      </vt:variant>
    </vt:vector>
  </HeadingPairs>
  <TitlesOfParts>
    <vt:vector size="99" baseType="lpstr">
      <vt:lpstr>BUDGET OVERVIEW</vt:lpstr>
      <vt:lpstr>ADPLAN GOALS</vt:lpstr>
      <vt:lpstr>JONS-ADPLANNING</vt:lpstr>
      <vt:lpstr>DTS</vt:lpstr>
      <vt:lpstr>BOOTHS</vt:lpstr>
      <vt:lpstr>SOCIAL MEDIA</vt:lpstr>
      <vt:lpstr>INTERNET JOB</vt:lpstr>
      <vt:lpstr>MAILOUTS</vt:lpstr>
      <vt:lpstr>HELPER</vt:lpstr>
      <vt:lpstr>LEADS INSPECT</vt:lpstr>
      <vt:lpstr>AREA CAMP</vt:lpstr>
      <vt:lpstr>BAAPR</vt:lpstr>
      <vt:lpstr>BAAUG</vt:lpstr>
      <vt:lpstr>BADEC</vt:lpstr>
      <vt:lpstr>BAFEB</vt:lpstr>
      <vt:lpstr>BAJAN</vt:lpstr>
      <vt:lpstr>BAJUL</vt:lpstr>
      <vt:lpstr>BAJUN</vt:lpstr>
      <vt:lpstr>BAMAR</vt:lpstr>
      <vt:lpstr>BAMAY</vt:lpstr>
      <vt:lpstr>BANOV</vt:lpstr>
      <vt:lpstr>BAOCT</vt:lpstr>
      <vt:lpstr>BASEP</vt:lpstr>
      <vt:lpstr>BOOTHACC</vt:lpstr>
      <vt:lpstr>BOOTHDAP</vt:lpstr>
      <vt:lpstr>BOOTHGRP</vt:lpstr>
      <vt:lpstr>BOOTHPLC</vt:lpstr>
      <vt:lpstr>BOOTHPLD</vt:lpstr>
      <vt:lpstr>BPAPR</vt:lpstr>
      <vt:lpstr>BPAUG</vt:lpstr>
      <vt:lpstr>BPDEC</vt:lpstr>
      <vt:lpstr>BPFEB</vt:lpstr>
      <vt:lpstr>BPJAN</vt:lpstr>
      <vt:lpstr>BPJUL</vt:lpstr>
      <vt:lpstr>BPJUN</vt:lpstr>
      <vt:lpstr>BPMAR</vt:lpstr>
      <vt:lpstr>BPMAY</vt:lpstr>
      <vt:lpstr>BPNOV</vt:lpstr>
      <vt:lpstr>BPOCT</vt:lpstr>
      <vt:lpstr>BPSEP</vt:lpstr>
      <vt:lpstr>IAAPR</vt:lpstr>
      <vt:lpstr>IAAUG</vt:lpstr>
      <vt:lpstr>IADEC</vt:lpstr>
      <vt:lpstr>IAFEB</vt:lpstr>
      <vt:lpstr>IAJAN</vt:lpstr>
      <vt:lpstr>IAJUL</vt:lpstr>
      <vt:lpstr>IAJUN</vt:lpstr>
      <vt:lpstr>IAMAR</vt:lpstr>
      <vt:lpstr>IAMAY</vt:lpstr>
      <vt:lpstr>IANOV</vt:lpstr>
      <vt:lpstr>IAOCT</vt:lpstr>
      <vt:lpstr>IASEP</vt:lpstr>
      <vt:lpstr>IJACC</vt:lpstr>
      <vt:lpstr>IJDAP</vt:lpstr>
      <vt:lpstr>IJGRP</vt:lpstr>
      <vt:lpstr>IJPLC</vt:lpstr>
      <vt:lpstr>IJPLD</vt:lpstr>
      <vt:lpstr>IPAPR</vt:lpstr>
      <vt:lpstr>IPAUG</vt:lpstr>
      <vt:lpstr>IPDEC</vt:lpstr>
      <vt:lpstr>IPFEB</vt:lpstr>
      <vt:lpstr>IPJAN</vt:lpstr>
      <vt:lpstr>IPJUL</vt:lpstr>
      <vt:lpstr>IPJUN</vt:lpstr>
      <vt:lpstr>IPMAR</vt:lpstr>
      <vt:lpstr>IPMAY</vt:lpstr>
      <vt:lpstr>IPNOV</vt:lpstr>
      <vt:lpstr>IPOCT</vt:lpstr>
      <vt:lpstr>IPSEP</vt:lpstr>
      <vt:lpstr>BOOTHS!Print_Area</vt:lpstr>
      <vt:lpstr>SAAPR</vt:lpstr>
      <vt:lpstr>SAAUG</vt:lpstr>
      <vt:lpstr>SADEC</vt:lpstr>
      <vt:lpstr>SAFEB</vt:lpstr>
      <vt:lpstr>SAJAN</vt:lpstr>
      <vt:lpstr>SAJUL</vt:lpstr>
      <vt:lpstr>SAJUN</vt:lpstr>
      <vt:lpstr>SAMAR</vt:lpstr>
      <vt:lpstr>SAMAY</vt:lpstr>
      <vt:lpstr>SANOV</vt:lpstr>
      <vt:lpstr>SAOCT</vt:lpstr>
      <vt:lpstr>SASEP</vt:lpstr>
      <vt:lpstr>SMACC</vt:lpstr>
      <vt:lpstr>SMDAP</vt:lpstr>
      <vt:lpstr>SMGRP</vt:lpstr>
      <vt:lpstr>SMPLC</vt:lpstr>
      <vt:lpstr>SMPLD</vt:lpstr>
      <vt:lpstr>SPAPR</vt:lpstr>
      <vt:lpstr>SPAUG</vt:lpstr>
      <vt:lpstr>SPDEC</vt:lpstr>
      <vt:lpstr>SPFEB</vt:lpstr>
      <vt:lpstr>SPJAN</vt:lpstr>
      <vt:lpstr>SPJUL</vt:lpstr>
      <vt:lpstr>SPJUN</vt:lpstr>
      <vt:lpstr>SPMAR</vt:lpstr>
      <vt:lpstr>SPMAY</vt:lpstr>
      <vt:lpstr>SPNOV</vt:lpstr>
      <vt:lpstr>SPOCT</vt:lpstr>
      <vt:lpstr>SPSEP</vt:lpstr>
    </vt:vector>
  </TitlesOfParts>
  <Company>HPES NMCI 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Harshbarger, Michael J NCC NRD PHOENIX, .</dc:creator>
  <cp:lastModifiedBy>Michael Harshbarger</cp:lastModifiedBy>
  <cp:lastPrinted>2018-12-10T23:56:03Z</cp:lastPrinted>
  <dcterms:created xsi:type="dcterms:W3CDTF">2018-05-08T19:04:20Z</dcterms:created>
  <dcterms:modified xsi:type="dcterms:W3CDTF">2021-11-14T16:56:34Z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0x0101004C0B4E20087EAB4594162C2248AC3B73</vt:lpwstr>
  </property>
</Properties>
</file>